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29.xml" ContentType="application/vnd.openxmlformats-officedocument.spreadsheetml.worksheet+xml"/>
  <Override PartName="/xl/worksheets/sheet28.xml" ContentType="application/vnd.openxmlformats-officedocument.spreadsheetml.worksheet+xml"/>
  <Override PartName="/xl/worksheets/_rels/sheet25.xml.rels" ContentType="application/vnd.openxmlformats-package.relationships+xml"/>
  <Override PartName="/xl/worksheets/_rels/sheet16.xml.rels" ContentType="application/vnd.openxmlformats-package.relationships+xml"/>
  <Override PartName="/xl/worksheets/_rels/sheet32.xml.rels" ContentType="application/vnd.openxmlformats-package.relationships+xml"/>
  <Override PartName="/xl/worksheets/_rels/sheet5.xml.rels" ContentType="application/vnd.openxmlformats-package.relationships+xml"/>
  <Override PartName="/xl/worksheets/_rels/sheet28.xml.rels" ContentType="application/vnd.openxmlformats-package.relationships+xml"/>
  <Override PartName="/xl/worksheets/_rels/sheet37.xml.rels" ContentType="application/vnd.openxmlformats-package.relationships+xml"/>
  <Override PartName="/xl/worksheets/_rels/sheet22.xml.rels" ContentType="application/vnd.openxmlformats-package.relationships+xml"/>
  <Override PartName="/xl/worksheets/_rels/sheet36.xml.rels" ContentType="application/vnd.openxmlformats-package.relationships+xml"/>
  <Override PartName="/xl/worksheets/_rels/sheet21.xml.rels" ContentType="application/vnd.openxmlformats-package.relationships+xml"/>
  <Override PartName="/xl/worksheets/_rels/sheet27.xml.rels" ContentType="application/vnd.openxmlformats-package.relationships+xml"/>
  <Override PartName="/xl/worksheets/_rels/sheet4.xml.rels" ContentType="application/vnd.openxmlformats-package.relationships+xml"/>
  <Override PartName="/xl/worksheets/_rels/sheet40.xml.rels" ContentType="application/vnd.openxmlformats-package.relationships+xml"/>
  <Override PartName="/xl/worksheets/_rels/sheet33.xml.rels" ContentType="application/vnd.openxmlformats-package.relationships+xml"/>
  <Override PartName="/xl/worksheets/_rels/sheet20.xml.rels" ContentType="application/vnd.openxmlformats-package.relationships+xml"/>
  <Override PartName="/xl/worksheets/_rels/sheet35.xml.rels" ContentType="application/vnd.openxmlformats-package.relationships+xml"/>
  <Override PartName="/xl/worksheets/_rels/sheet34.xml.rels" ContentType="application/vnd.openxmlformats-package.relationships+xml"/>
  <Override PartName="/xl/worksheets/_rels/sheet26.xml.rels" ContentType="application/vnd.openxmlformats-package.relationships+xml"/>
  <Override PartName="/xl/worksheets/_rels/sheet11.xml.rels" ContentType="application/vnd.openxmlformats-package.relationships+xml"/>
  <Override PartName="/xl/worksheets/_rels/sheet17.xml.rels" ContentType="application/vnd.openxmlformats-package.relationships+xml"/>
  <Override PartName="/xl/worksheets/_rels/sheet12.xml.rels" ContentType="application/vnd.openxmlformats-package.relationships+xml"/>
  <Override PartName="/xl/worksheets/_rels/sheet18.xml.rels" ContentType="application/vnd.openxmlformats-package.relationships+xml"/>
  <Override PartName="/xl/worksheets/_rels/sheet8.xml.rels" ContentType="application/vnd.openxmlformats-package.relationships+xml"/>
  <Override PartName="/xl/worksheets/_rels/sheet2.xml.rels" ContentType="application/vnd.openxmlformats-package.relationships+xml"/>
  <Override PartName="/xl/worksheets/_rels/sheet13.xml.rels" ContentType="application/vnd.openxmlformats-package.relationships+xml"/>
  <Override PartName="/xl/worksheets/_rels/sheet19.xml.rels" ContentType="application/vnd.openxmlformats-package.relationships+xml"/>
  <Override PartName="/xl/worksheets/_rels/sheet3.xml.rels" ContentType="application/vnd.openxmlformats-package.relationships+xml"/>
  <Override PartName="/xl/worksheets/_rels/sheet29.xml.rels" ContentType="application/vnd.openxmlformats-package.relationships+xml"/>
  <Override PartName="/xl/worksheets/_rels/sheet30.xml.rels" ContentType="application/vnd.openxmlformats-package.relationships+xml"/>
  <Override PartName="/xl/worksheets/_rels/sheet14.xml.rels" ContentType="application/vnd.openxmlformats-package.relationships+xml"/>
  <Override PartName="/xl/worksheets/_rels/sheet23.xml.rels" ContentType="application/vnd.openxmlformats-package.relationships+xml"/>
  <Override PartName="/xl/worksheets/_rels/sheet24.xml.rels" ContentType="application/vnd.openxmlformats-package.relationships+xml"/>
  <Override PartName="/xl/worksheets/_rels/sheet31.xml.rels" ContentType="application/vnd.openxmlformats-package.relationships+xml"/>
  <Override PartName="/xl/worksheets/_rels/sheet15.xml.rels" ContentType="application/vnd.openxmlformats-package.relationships+xml"/>
  <Override PartName="/xl/worksheets/sheet27.xml" ContentType="application/vnd.openxmlformats-officedocument.spreadsheetml.worksheet+xml"/>
  <Override PartName="/xl/worksheets/sheet9.xml" ContentType="application/vnd.openxmlformats-officedocument.spreadsheetml.worksheet+xml"/>
  <Override PartName="/xl/worksheets/sheet26.xml" ContentType="application/vnd.openxmlformats-officedocument.spreadsheetml.worksheet+xml"/>
  <Override PartName="/xl/worksheets/sheet8.xml" ContentType="application/vnd.openxmlformats-officedocument.spreadsheetml.worksheet+xml"/>
  <Override PartName="/xl/worksheets/sheet25.xml" ContentType="application/vnd.openxmlformats-officedocument.spreadsheetml.worksheet+xml"/>
  <Override PartName="/xl/worksheets/sheet7.xml" ContentType="application/vnd.openxmlformats-officedocument.spreadsheetml.worksheet+xml"/>
  <Override PartName="/xl/worksheets/sheet24.xml" ContentType="application/vnd.openxmlformats-officedocument.spreadsheetml.worksheet+xml"/>
  <Override PartName="/xl/worksheets/sheet6.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1.xml" ContentType="application/vnd.openxmlformats-officedocument.spreadsheetml.worksheet+xml"/>
  <Override PartName="/xl/worksheets/sheet35.xml" ContentType="application/vnd.openxmlformats-officedocument.spreadsheetml.worksheet+xml"/>
  <Override PartName="/xl/worksheets/sheet12.xml" ContentType="application/vnd.openxmlformats-officedocument.spreadsheetml.worksheet+xml"/>
  <Override PartName="/xl/worksheets/sheet36.xml" ContentType="application/vnd.openxmlformats-officedocument.spreadsheetml.worksheet+xml"/>
  <Override PartName="/xl/worksheets/sheet13.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40.xml" ContentType="application/vnd.openxmlformats-officedocument.spreadsheetml.worksheet+xml"/>
  <Override PartName="/xl/worksheets/sheet23.xml" ContentType="application/vnd.openxmlformats-officedocument.spreadsheetml.worksheet+xml"/>
  <Override PartName="/xl/worksheets/sheet5.xml" ContentType="application/vnd.openxmlformats-officedocument.spreadsheetml.worksheet+xml"/>
  <Override PartName="/xl/worksheets/sheet39.xml" ContentType="application/vnd.openxmlformats-officedocument.spreadsheetml.worksheet+xml"/>
  <Override PartName="/xl/worksheets/sheet11.xml" ContentType="application/vnd.openxmlformats-officedocument.spreadsheetml.worksheet+xml"/>
  <Override PartName="/xl/worksheets/sheet10.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19.xml" ContentType="application/vnd.openxmlformats-officedocument.spreadsheetml.worksheet+xml"/>
  <Override PartName="/xl/worksheets/sheet3.xml" ContentType="application/vnd.openxmlformats-officedocument.spreadsheetml.worksheet+xml"/>
  <Override PartName="/xl/worksheets/sheet21.xml" ContentType="application/vnd.openxmlformats-officedocument.spreadsheetml.worksheet+xml"/>
  <Override PartName="/xl/worksheets/sheet4.xml" ContentType="application/vnd.openxmlformats-officedocument.spreadsheetml.worksheet+xml"/>
  <Override PartName="/xl/worksheets/sheet22.xml" ContentType="application/vnd.openxmlformats-officedocument.spreadsheetml.worksheet+xml"/>
  <Override PartName="/xl/_rels/workbook.xml.rels" ContentType="application/vnd.openxmlformats-package.relationships+xml"/>
  <Override PartName="/xl/sharedStrings.xml" ContentType="application/vnd.openxmlformats-officedocument.spreadsheetml.sharedStrings+xml"/>
  <Override PartName="/xl/media/image56.png" ContentType="image/png"/>
  <Override PartName="/xl/media/image55.png" ContentType="image/png"/>
  <Override PartName="/xl/media/image54.png" ContentType="image/png"/>
  <Override PartName="/xl/media/image53.png" ContentType="image/png"/>
  <Override PartName="/xl/media/image52.png" ContentType="image/png"/>
  <Override PartName="/xl/media/image51.png" ContentType="image/png"/>
  <Override PartName="/xl/media/image50.png" ContentType="image/png"/>
  <Override PartName="/xl/media/image46.png" ContentType="image/png"/>
  <Override PartName="/xl/media/image45.png" ContentType="image/png"/>
  <Override PartName="/xl/media/image44.png" ContentType="image/png"/>
  <Override PartName="/xl/media/image43.png" ContentType="image/png"/>
  <Override PartName="/xl/media/image42.png" ContentType="image/png"/>
  <Override PartName="/xl/media/image41.png" ContentType="image/png"/>
  <Override PartName="/xl/media/image40.png" ContentType="image/png"/>
  <Override PartName="/xl/media/image30.png" ContentType="image/png"/>
  <Override PartName="/xl/media/image39.png" ContentType="image/png"/>
  <Override PartName="/xl/media/image9.png" ContentType="image/png"/>
  <Override PartName="/xl/media/image86.png" ContentType="image/png"/>
  <Override PartName="/xl/media/image13.png" ContentType="image/png"/>
  <Override PartName="/xl/media/image1.png" ContentType="image/png"/>
  <Override PartName="/xl/media/image38.png" ContentType="image/png"/>
  <Override PartName="/xl/media/image8.png" ContentType="image/png"/>
  <Override PartName="/xl/media/image85.png" ContentType="image/png"/>
  <Override PartName="/xl/media/image49.png" ContentType="image/png"/>
  <Override PartName="/xl/media/image100.png" ContentType="image/png"/>
  <Override PartName="/xl/media/image12.png" ContentType="image/png"/>
  <Override PartName="/xl/media/image109.png" ContentType="image/png"/>
  <Override PartName="/xl/media/image37.png" ContentType="image/png"/>
  <Override PartName="/xl/media/image7.png" ContentType="image/png"/>
  <Override PartName="/xl/media/image19.png" ContentType="image/png"/>
  <Override PartName="/xl/media/image84.png" ContentType="image/png"/>
  <Override PartName="/xl/media/image48.png" ContentType="image/png"/>
  <Override PartName="/xl/media/image11.png" ContentType="image/png"/>
  <Override PartName="/xl/media/image108.png" ContentType="image/png"/>
  <Override PartName="/xl/media/image36.png" ContentType="image/png"/>
  <Override PartName="/xl/media/image6.png" ContentType="image/png"/>
  <Override PartName="/xl/media/image18.png" ContentType="image/png"/>
  <Override PartName="/xl/media/image83.png" ContentType="image/png"/>
  <Override PartName="/xl/media/image29.png" ContentType="image/png"/>
  <Override PartName="/xl/media/image94.png" ContentType="image/png"/>
  <Override PartName="/xl/media/image47.png" ContentType="image/png"/>
  <Override PartName="/xl/media/image10.png" ContentType="image/png"/>
  <Override PartName="/xl/media/image107.png" ContentType="image/png"/>
  <Override PartName="/xl/media/image35.png" ContentType="image/png"/>
  <Override PartName="/xl/media/image5.png" ContentType="image/png"/>
  <Override PartName="/xl/media/image17.png" ContentType="image/png"/>
  <Override PartName="/xl/media/image82.png" ContentType="image/png"/>
  <Override PartName="/xl/media/image28.png" ContentType="image/png"/>
  <Override PartName="/xl/media/image93.png" ContentType="image/png"/>
  <Override PartName="/xl/media/image34.png" ContentType="image/png"/>
  <Override PartName="/xl/media/image4.png" ContentType="image/png"/>
  <Override PartName="/xl/media/image16.png" ContentType="image/png"/>
  <Override PartName="/xl/media/image81.png" ContentType="image/png"/>
  <Override PartName="/xl/media/image27.png" ContentType="image/png"/>
  <Override PartName="/xl/media/image92.png" ContentType="image/png"/>
  <Override PartName="/xl/media/image33.png" ContentType="image/png"/>
  <Override PartName="/xl/media/image70.png" ContentType="image/png"/>
  <Override PartName="/xl/media/image114.png" ContentType="image/png"/>
  <Override PartName="/xl/media/image71.png" ContentType="image/png"/>
  <Override PartName="/xl/media/image115.png" ContentType="image/png"/>
  <Override PartName="/xl/media/image72.png" ContentType="image/png"/>
  <Override PartName="/xl/media/image73.png" ContentType="image/png"/>
  <Override PartName="/xl/media/image74.png" ContentType="image/png"/>
  <Override PartName="/xl/media/image75.png" ContentType="image/png"/>
  <Override PartName="/xl/media/image76.png" ContentType="image/png"/>
  <Override PartName="/xl/media/image77.png" ContentType="image/png"/>
  <Override PartName="/xl/media/image78.png" ContentType="image/png"/>
  <Override PartName="/xl/media/image87.png" ContentType="image/png"/>
  <Override PartName="/xl/media/image88.png" ContentType="image/png"/>
  <Override PartName="/xl/media/image96.png" ContentType="image/png"/>
  <Override PartName="/xl/media/image103.png" ContentType="image/png"/>
  <Override PartName="/xl/media/image97.png" ContentType="image/png"/>
  <Override PartName="/xl/media/image104.png" ContentType="image/png"/>
  <Override PartName="/xl/media/image60.png" ContentType="image/png"/>
  <Override PartName="/xl/media/image95.png" ContentType="image/png"/>
  <Override PartName="/xl/media/image102.png" ContentType="image/png"/>
  <Override PartName="/xl/media/image113.png" ContentType="image/png"/>
  <Override PartName="/xl/media/image79.png" ContentType="image/png"/>
  <Override PartName="/xl/media/image101.png" ContentType="image/png"/>
  <Override PartName="/xl/media/image99.png" ContentType="image/png"/>
  <Override PartName="/xl/media/image106.png" ContentType="image/png"/>
  <Override PartName="/xl/media/image62.png" ContentType="image/png"/>
  <Override PartName="/xl/media/image112.png" ContentType="image/png"/>
  <Override PartName="/xl/media/image98.png" ContentType="image/png"/>
  <Override PartName="/xl/media/image105.png" ContentType="image/png"/>
  <Override PartName="/xl/media/image61.png" ContentType="image/png"/>
  <Override PartName="/xl/media/image89.png" ContentType="image/png"/>
  <Override PartName="/xl/media/image111.png" ContentType="image/png"/>
  <Override PartName="/xl/media/image69.png" ContentType="image/png"/>
  <Override PartName="/xl/media/image32.png" ContentType="image/png"/>
  <Override PartName="/xl/media/image68.png" ContentType="image/png"/>
  <Override PartName="/xl/media/image31.png" ContentType="image/png"/>
  <Override PartName="/xl/media/image67.png" ContentType="image/png"/>
  <Override PartName="/xl/media/image66.png" ContentType="image/png"/>
  <Override PartName="/xl/media/image65.png" ContentType="image/png"/>
  <Override PartName="/xl/media/image64.png" ContentType="image/png"/>
  <Override PartName="/xl/media/image63.png" ContentType="image/png"/>
  <Override PartName="/xl/media/image23.png" ContentType="image/png"/>
  <Override PartName="/xl/media/image22.png" ContentType="image/png"/>
  <Override PartName="/xl/media/image59.png" ContentType="image/png"/>
  <Override PartName="/xl/media/image110.png" ContentType="image/png"/>
  <Override PartName="/xl/media/image24.png" ContentType="image/png"/>
  <Override PartName="/xl/media/image21.png" ContentType="image/png"/>
  <Override PartName="/xl/media/image58.png" ContentType="image/png"/>
  <Override PartName="/xl/media/image20.png" ContentType="image/png"/>
  <Override PartName="/xl/media/image57.png" ContentType="image/png"/>
  <Override PartName="/xl/media/image25.png" ContentType="image/png"/>
  <Override PartName="/xl/media/image90.png" ContentType="image/png"/>
  <Override PartName="/xl/media/image2.png" ContentType="image/png"/>
  <Override PartName="/xl/media/image14.png" ContentType="image/png"/>
  <Override PartName="/xl/media/image26.png" ContentType="image/png"/>
  <Override PartName="/xl/media/image91.png" ContentType="image/png"/>
  <Override PartName="/xl/media/image15.png" ContentType="image/png"/>
  <Override PartName="/xl/media/image80.png" ContentType="image/png"/>
  <Override PartName="/xl/media/image3.png" ContentType="image/png"/>
  <Override PartName="/xl/drawings/drawing9.xml" ContentType="application/vnd.openxmlformats-officedocument.drawing+xml"/>
  <Override PartName="/xl/drawings/drawing13.xml" ContentType="application/vnd.openxmlformats-officedocument.drawing+xml"/>
  <Override PartName="/xl/drawings/drawing8.xml" ContentType="application/vnd.openxmlformats-officedocument.drawing+xml"/>
  <Override PartName="/xl/drawings/drawing12.xml" ContentType="application/vnd.openxmlformats-officedocument.drawing+xml"/>
  <Override PartName="/xl/drawings/drawing7.xml" ContentType="application/vnd.openxmlformats-officedocument.drawing+xml"/>
  <Override PartName="/xl/drawings/drawing11.xml" ContentType="application/vnd.openxmlformats-officedocument.drawing+xml"/>
  <Override PartName="/xl/drawings/drawing6.xml" ContentType="application/vnd.openxmlformats-officedocument.drawing+xml"/>
  <Override PartName="/xl/drawings/drawing10.xml" ContentType="application/vnd.openxmlformats-officedocument.drawing+xml"/>
  <Override PartName="/xl/drawings/drawing5.xml" ContentType="application/vnd.openxmlformats-officedocument.drawing+xml"/>
  <Override PartName="/xl/drawings/drawing4.xml" ContentType="application/vnd.openxmlformats-officedocument.drawing+xml"/>
  <Override PartName="/xl/drawings/drawing3.xml" ContentType="application/vnd.openxmlformats-officedocument.drawing+xml"/>
  <Override PartName="/xl/drawings/drawing2.xml" ContentType="application/vnd.openxmlformats-officedocument.drawing+xml"/>
  <Override PartName="/xl/drawings/drawing1.xml" ContentType="application/vnd.openxmlformats-officedocument.drawing+xml"/>
  <Override PartName="/xl/drawings/vmlDrawing1.vml" ContentType="application/vnd.openxmlformats-officedocument.vmlDrawing"/>
  <Override PartName="/xl/drawings/drawing23.xml" ContentType="application/vnd.openxmlformats-officedocument.drawing+xml"/>
  <Override PartName="/xl/drawings/drawing25.xml" ContentType="application/vnd.openxmlformats-officedocument.drawing+xml"/>
  <Override PartName="/xl/drawings/drawing24.xml" ContentType="application/vnd.openxmlformats-officedocument.drawing+xml"/>
  <Override PartName="/xl/drawings/drawing22.xml" ContentType="application/vnd.openxmlformats-officedocument.drawing+xml"/>
  <Override PartName="/xl/drawings/_rels/drawing2.xml.rels" ContentType="application/vnd.openxmlformats-package.relationships+xml"/>
  <Override PartName="/xl/drawings/_rels/drawing12.xml.rels" ContentType="application/vnd.openxmlformats-package.relationships+xml"/>
  <Override PartName="/xl/drawings/_rels/drawing14.xml.rels" ContentType="application/vnd.openxmlformats-package.relationships+xml"/>
  <Override PartName="/xl/drawings/_rels/drawing15.xml.rels" ContentType="application/vnd.openxmlformats-package.relationships+xml"/>
  <Override PartName="/xl/drawings/_rels/drawing16.xml.rels" ContentType="application/vnd.openxmlformats-package.relationships+xml"/>
  <Override PartName="/xl/drawings/_rels/drawing17.xml.rels" ContentType="application/vnd.openxmlformats-package.relationships+xml"/>
  <Override PartName="/xl/drawings/_rels/drawing20.xml.rels" ContentType="application/vnd.openxmlformats-package.relationships+xml"/>
  <Override PartName="/xl/drawings/_rels/drawing19.xml.rels" ContentType="application/vnd.openxmlformats-package.relationships+xml"/>
  <Override PartName="/xl/drawings/_rels/drawing8.xml.rels" ContentType="application/vnd.openxmlformats-package.relationships+xml"/>
  <Override PartName="/xl/drawings/_rels/drawing23.xml.rels" ContentType="application/vnd.openxmlformats-package.relationships+xml"/>
  <Override PartName="/xl/drawings/_rels/drawing21.xml.rels" ContentType="application/vnd.openxmlformats-package.relationships+xml"/>
  <Override PartName="/xl/drawings/_rels/drawing9.xml.rels" ContentType="application/vnd.openxmlformats-package.relationships+xml"/>
  <Override PartName="/xl/drawings/_rels/drawing3.xml.rels" ContentType="application/vnd.openxmlformats-package.relationships+xml"/>
  <Override PartName="/xl/drawings/_rels/drawing13.xml.rels" ContentType="application/vnd.openxmlformats-package.relationships+xml"/>
  <Override PartName="/xl/drawings/_rels/drawing10.xml.rels" ContentType="application/vnd.openxmlformats-package.relationships+xml"/>
  <Override PartName="/xl/drawings/_rels/drawing11.xml.rels" ContentType="application/vnd.openxmlformats-package.relationships+xml"/>
  <Override PartName="/xl/drawings/_rels/drawing6.xml.rels" ContentType="application/vnd.openxmlformats-package.relationships+xml"/>
  <Override PartName="/xl/drawings/_rels/drawing5.xml.rels" ContentType="application/vnd.openxmlformats-package.relationships+xml"/>
  <Override PartName="/xl/drawings/_rels/drawing4.xml.rels" ContentType="application/vnd.openxmlformats-package.relationships+xml"/>
  <Override PartName="/xl/drawings/_rels/drawing25.xml.rels" ContentType="application/vnd.openxmlformats-package.relationships+xml"/>
  <Override PartName="/xl/drawings/_rels/drawing22.xml.rels" ContentType="application/vnd.openxmlformats-package.relationships+xml"/>
  <Override PartName="/xl/drawings/_rels/drawing18.xml.rels" ContentType="application/vnd.openxmlformats-package.relationships+xml"/>
  <Override PartName="/xl/drawings/_rels/drawing7.xml.rels" ContentType="application/vnd.openxmlformats-package.relationships+xml"/>
  <Override PartName="/xl/drawings/_rels/drawing24.xml.rels" ContentType="application/vnd.openxmlformats-package.relationships+xml"/>
  <Override PartName="/xl/drawings/drawing21.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18.xml" ContentType="application/vnd.openxmlformats-officedocument.drawing+xml"/>
  <Override PartName="/xl/drawings/drawing17.xml" ContentType="application/vnd.openxmlformats-officedocument.drawing+xml"/>
  <Override PartName="/xl/drawings/drawing16.xml" ContentType="application/vnd.openxmlformats-officedocument.drawing+xml"/>
  <Override PartName="/xl/drawings/drawing15.xml" ContentType="application/vnd.openxmlformats-officedocument.drawing+xml"/>
  <Override PartName="/xl/drawings/drawing14.xml" ContentType="application/vnd.openxmlformats-officedocument.drawing+xml"/>
  <Override PartName="/xl/comments40.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3"/>
  </bookViews>
  <sheets>
    <sheet name="Criteria" sheetId="1" state="visible" r:id="rId2"/>
    <sheet name="GWP" sheetId="2" state="visible" r:id="rId3"/>
    <sheet name="Energy" sheetId="3" state="visible" r:id="rId4"/>
    <sheet name="Water" sheetId="4" state="visible" r:id="rId5"/>
    <sheet name="Parameters" sheetId="5" state="visible" r:id="rId6"/>
    <sheet name="EIME data" sheetId="6" state="visible" r:id="rId7"/>
    <sheet name="GaBi data" sheetId="7" state="visible" r:id="rId8"/>
    <sheet name="EcoInvent data" sheetId="8" state="visible" r:id="rId9"/>
    <sheet name="Industries data" sheetId="9" state="visible" r:id="rId10"/>
    <sheet name="ITRS data" sheetId="10" state="visible" r:id="rId11"/>
    <sheet name="Worldwide production data" sheetId="11" state="visible" r:id="rId12"/>
    <sheet name="Apple SoC data" sheetId="12" state="visible" r:id="rId13"/>
    <sheet name="SOTA" sheetId="13" state="visible" r:id="rId14"/>
    <sheet name="Andrae data" sheetId="14" state="visible" r:id="rId15"/>
    <sheet name="Bardon data" sheetId="15" state="visible" r:id="rId16"/>
    <sheet name="Branham data" sheetId="16" state="visible" r:id="rId17"/>
    <sheet name="Bol data" sheetId="17" state="visible" r:id="rId18"/>
    <sheet name="Boyd data" sheetId="18" state="visible" r:id="rId19"/>
    <sheet name="Clement data" sheetId="19" state="visible" r:id="rId20"/>
    <sheet name="Ciceri data" sheetId="20" state="visible" r:id="rId21"/>
    <sheet name="Das data" sheetId="21" state="visible" r:id="rId22"/>
    <sheet name="Deng data" sheetId="22" state="visible" r:id="rId23"/>
    <sheet name="Ercan data" sheetId="23" state="visible" r:id="rId24"/>
    <sheet name="Jones data" sheetId="24" state="visible" r:id="rId25"/>
    <sheet name="Kline data" sheetId="25" state="visible" r:id="rId26"/>
    <sheet name="Krishnan data" sheetId="26" state="visible" r:id="rId27"/>
    <sheet name="Hu data" sheetId="27" state="visible" r:id="rId28"/>
    <sheet name="Huang data" sheetId="28" state="visible" r:id="rId29"/>
    <sheet name="Murphy data" sheetId="29" state="visible" r:id="rId30"/>
    <sheet name="Plepys data" sheetId="30" state="visible" r:id="rId31"/>
    <sheet name="Prakash data" sheetId="31" state="visible" r:id="rId32"/>
    <sheet name="Proske data" sheetId="32" state="visible" r:id="rId33"/>
    <sheet name="Schmidt data" sheetId="33" state="visible" r:id="rId34"/>
    <sheet name="Teehan data" sheetId="34" state="visible" r:id="rId35"/>
    <sheet name="Wang data" sheetId="35" state="visible" r:id="rId36"/>
    <sheet name="Williams data" sheetId="36" state="visible" r:id="rId37"/>
    <sheet name="Yao data" sheetId="37" state="visible" r:id="rId38"/>
    <sheet name="Industry shares details" sheetId="38" state="visible" r:id="rId39"/>
    <sheet name="Scopes ratios details" sheetId="39" state="visible" r:id="rId40"/>
    <sheet name="F-GHG ratio details" sheetId="40" state="visible" r:id="rId41"/>
  </sheets>
  <definedNames>
    <definedName function="false" hidden="true" localSheetId="1" name="_xlnm._FilterDatabase" vbProcedure="false">GWP!$J$1:$J$224</definedName>
  </definedNames>
  <calcPr iterateCount="100" refMode="A1" iterate="false" iterateDelta="0.0001"/>
  <extLst>
    <ext xmlns:loext="http://schemas.libreoffice.org/" uri="{7626C862-2A13-11E5-B345-FEFF819CDC9F}">
      <loext:extCalcPr stringRefSyntax="ExcelA1"/>
    </ext>
  </extLst>
</workbook>
</file>

<file path=xl/comments40.xml><?xml version="1.0" encoding="utf-8"?>
<comments xmlns="http://schemas.openxmlformats.org/spreadsheetml/2006/main" xmlns:xdr="http://schemas.openxmlformats.org/drawingml/2006/spreadsheetDrawing">
  <authors>
    <author> </author>
  </authors>
  <commentList>
    <comment ref="E8" authorId="0">
      <text>
        <r>
          <rPr>
            <sz val="12"/>
            <color rgb="FF000000"/>
            <rFont val="Calibri"/>
            <family val="2"/>
            <charset val="1"/>
          </rPr>
          <t xml:space="preserve">[Threaded comment]
Your version of Excel allows you to read this threaded comment; however, any edits to it will get removed if the file is opened in a newer version of Excel. Learn more: https://go.microsoft.com/fwlink/?linkid=870924
Comment:
    Il y a une erreur sur ces valeurs dans le CSR</t>
        </r>
      </text>
    </comment>
  </commentList>
</comments>
</file>

<file path=xl/sharedStrings.xml><?xml version="1.0" encoding="utf-8"?>
<sst xmlns="http://schemas.openxmlformats.org/spreadsheetml/2006/main" count="13921" uniqueCount="1427">
  <si>
    <t xml:space="preserve">Template</t>
  </si>
  <si>
    <t xml:space="preserve">Source</t>
  </si>
  <si>
    <t xml:space="preserve">Authors</t>
  </si>
  <si>
    <t xml:space="preserve">Year</t>
  </si>
  <si>
    <t xml:space="preserve">Link</t>
  </si>
  <si>
    <t xml:space="preserve">Category</t>
  </si>
  <si>
    <t xml:space="preserve">Criteria</t>
  </si>
  <si>
    <t xml:space="preserve">Comments</t>
  </si>
  <si>
    <t xml:space="preserve">[Literature, Industry, Roadmap, Database]</t>
  </si>
  <si>
    <t xml:space="preserve">Type of process flow
[L/M/mix]</t>
  </si>
  <si>
    <t xml:space="preserve">FE
[y/n]</t>
  </si>
  <si>
    <t xml:space="preserve">BE
[y/n]</t>
  </si>
  <si>
    <t xml:space="preserve">iN
[nm/mix]</t>
  </si>
  <si>
    <t xml:space="preserve">Wafer Size
[mm]</t>
  </si>
  <si>
    <t xml:space="preserve">Yield
[y/n]</t>
  </si>
  <si>
    <t xml:space="preserve">Infrastructure
[y/n]</t>
  </si>
  <si>
    <t xml:space="preserve">Materials, chemicals &amp; purification
[y/n]</t>
  </si>
  <si>
    <t xml:space="preserve">Electricity location production 
[glo/country]</t>
  </si>
  <si>
    <t xml:space="preserve">Indicators coverage
[cf/e/w]</t>
  </si>
  <si>
    <t xml:space="preserve">Assessment method
[pb/eio/hybrid]</t>
  </si>
  <si>
    <t xml:space="preserve">Primary data
[y/n/mix]</t>
  </si>
  <si>
    <t xml:space="preserve">Dependencies
[y/n]</t>
  </si>
  <si>
    <t xml:space="preserve">Process details
[y/n]</t>
  </si>
  <si>
    <t xml:space="preserve">Transparent normalization
[y/n]</t>
  </si>
  <si>
    <t xml:space="preserve">Name of the source</t>
  </si>
  <si>
    <t xml:space="preserve">Name of the first author</t>
  </si>
  <si>
    <t xml:space="preserve">What is the year of publication of the source ? 
(or the reference year for the data)</t>
  </si>
  <si>
    <t xml:space="preserve">Link to the source</t>
  </si>
  <si>
    <t xml:space="preserve">Literature category of the source</t>
  </si>
  <si>
    <t xml:space="preserve">Which type of semiconductor process flow is considered ?
(logic, memory, analog, radio-frequency)</t>
  </si>
  <si>
    <t xml:space="preserve">Does the source include FEOL and BEOL ? </t>
  </si>
  <si>
    <t xml:space="preserve">Does the source include BE ?</t>
  </si>
  <si>
    <t xml:space="preserve">What is the technology node considered ? </t>
  </si>
  <si>
    <t xml:space="preserve">What is the wafer size considered ? </t>
  </si>
  <si>
    <t xml:space="preserve">Is yield considered ? 
(wafer yield, line yield, gross yield)</t>
  </si>
  <si>
    <t xml:space="preserve">Is the infrastructure considered ?</t>
  </si>
  <si>
    <t xml:space="preserve">Are upstream materials and purification processes included ?</t>
  </si>
  <si>
    <t xml:space="preserve">Which location is considered in the source ? (global, country specific)</t>
  </si>
  <si>
    <t xml:space="preserve">What are the indicators covered by the source ?</t>
  </si>
  <si>
    <t xml:space="preserve">Which LCA approach is used to obtain the final value ? (process-based, EIO-LCA, hybrid)</t>
  </si>
  <si>
    <t xml:space="preserve">Do the data come directly from on-site measurements ?</t>
  </si>
  <si>
    <t xml:space="preserve">Is there any dependency to external sources ?</t>
  </si>
  <si>
    <t xml:space="preserve">Does the source provide details regarding the process and the modeling ? </t>
  </si>
  <si>
    <t xml:space="preserve">Does the source normalize the indicator by square centimeter explicitely ?</t>
  </si>
  <si>
    <t xml:space="preserve">Comments related to the source</t>
  </si>
  <si>
    <t xml:space="preserve">Literature</t>
  </si>
  <si>
    <t xml:space="preserve">L</t>
  </si>
  <si>
    <t xml:space="preserve">Y</t>
  </si>
  <si>
    <t xml:space="preserve">GLO</t>
  </si>
  <si>
    <t xml:space="preserve">cf</t>
  </si>
  <si>
    <t xml:space="preserve">pb</t>
  </si>
  <si>
    <t xml:space="preserve">Industry</t>
  </si>
  <si>
    <t xml:space="preserve">M</t>
  </si>
  <si>
    <t xml:space="preserve">N</t>
  </si>
  <si>
    <t xml:space="preserve">USA</t>
  </si>
  <si>
    <t xml:space="preserve">e</t>
  </si>
  <si>
    <t xml:space="preserve">eio</t>
  </si>
  <si>
    <t xml:space="preserve">Roadmap</t>
  </si>
  <si>
    <t xml:space="preserve">mix</t>
  </si>
  <si>
    <t xml:space="preserve">EU</t>
  </si>
  <si>
    <t xml:space="preserve">w</t>
  </si>
  <si>
    <t xml:space="preserve">hybrid</t>
  </si>
  <si>
    <t xml:space="preserve">Database</t>
  </si>
  <si>
    <t xml:space="preserve">ASIA</t>
  </si>
  <si>
    <t xml:space="preserve">JAPAN</t>
  </si>
  <si>
    <t xml:space="preserve">TAIWAN</t>
  </si>
  <si>
    <t xml:space="preserve">CHINA</t>
  </si>
  <si>
    <t xml:space="preserve">GWP</t>
  </si>
  <si>
    <t xml:space="preserve">Value</t>
  </si>
  <si>
    <t xml:space="preserve"> fs</t>
  </si>
  <si>
    <t xml:space="preserve">Life Cycle Assessment of the Fairphone 2</t>
  </si>
  <si>
    <t xml:space="preserve">Proske</t>
  </si>
  <si>
    <t xml:space="preserve">https://www.fairphone.com/wp-content/uploads/2016/11/Fairphone_2_LCA_Final_20161122.pdf</t>
  </si>
  <si>
    <t xml:space="preserve">Y
[c-1]</t>
  </si>
  <si>
    <t xml:space="preserve">Y
[c-3]</t>
  </si>
  <si>
    <t xml:space="preserve">NA</t>
  </si>
  <si>
    <t xml:space="preserve">CHINA
[c-4]</t>
  </si>
  <si>
    <t xml:space="preserve">N
[c-5]</t>
  </si>
  <si>
    <t xml:space="preserve">Y
[c-2]</t>
  </si>
  <si>
    <t xml:space="preserve">
[c-1] 3,4 for front-end + 2 for back-end = 5,4. Back-end evaluation is based on an assumption 1/2 - 2/3, see p.26
[c-2] S.B. Boyd (2012), Schmidt (2011)
[c-3] see p.24 number of good dies per wafer
[c-4] Mainly EU for the use phase but Chinese energy mix is considered for final assembly for instance, see section 3.1.8. p.21.
[c-5] Primary data for the final assembly process was obtained
from Hi-P.</t>
  </si>
  <si>
    <t xml:space="preserve">Life Cycle Assessment of the Fairphone 3</t>
  </si>
  <si>
    <t xml:space="preserve">https://www.fairphone.com/wp-content/uploads/2020/07/Fairphone_3_LCA.pdf </t>
  </si>
  <si>
    <t xml:space="preserve">N
[c-3]</t>
  </si>
  <si>
    <t xml:space="preserve">300
[c-1]</t>
  </si>
  <si>
    <t xml:space="preserve">[c-1]  S.B. Boyd (2012), Prakash (2013)
[c-2] Deducted from Boyd (2012)
[c-3] BE is not mentioned explicitely in the report. Front-end tables are the same then in Proske 2016 but in Proske 2020, no presence of BE.
[c-4] Mainly EU for the use phase but Chinese energy mix is considered for final assembly for instance (section 3.1.13) and Chinese mix in Table 3-8.</t>
  </si>
  <si>
    <t xml:space="preserve">Life-Cycle Assessment of Semiconductors</t>
  </si>
  <si>
    <t xml:space="preserve">Boyd</t>
  </si>
  <si>
    <t xml:space="preserve">http://link.springer.com/10.1007/978-1-4419-9988-7</t>
  </si>
  <si>
    <t xml:space="preserve">USA
[c-1] </t>
  </si>
  <si>
    <t xml:space="preserve">cf-e-w</t>
  </si>
  <si>
    <t xml:space="preserve">Y
[c-4]</t>
  </si>
  <si>
    <t xml:space="preserve">[c-1] Santa Clara, CA, USA
[c-2]  Process steps mentionned to be taken into account but no details are given
[c-3] Normalization is given in kgCO2eq/die, normalization to kgVO2eq/cm^2 is described on "Boyd details" sheet
[c-4] Mainly from Krishnan (2008, Applied Materials) and Murphy (2003)
[c-5] Die packaging is considered see p.38 BUT we cannot find the data associated with the back-end.</t>
  </si>
  <si>
    <t xml:space="preserve">http://link.springer.com/10.1007/978-1-4419-9988-8</t>
  </si>
  <si>
    <t xml:space="preserve">http://link.springer.com/10.1007/978-1-4419-9988-9</t>
  </si>
  <si>
    <t xml:space="preserve">http://link.springer.com/10.1007/978-1-4419-9988-10</t>
  </si>
  <si>
    <t xml:space="preserve">http://link.springer.com/10.1007/978-1-4419-9988-11</t>
  </si>
  <si>
    <t xml:space="preserve">http://link.springer.com/10.1007/978-1-4419-9988-12</t>
  </si>
  <si>
    <t xml:space="preserve">http://link.springer.com/10.1007/978-1-4419-9988-13</t>
  </si>
  <si>
    <t xml:space="preserve">http://link.springer.com/10.1007/978-1-4419-9988-14</t>
  </si>
  <si>
    <t xml:space="preserve">Life-Cycle Assessment of Consumer Electronics: A review of methodological approaches</t>
  </si>
  <si>
    <t xml:space="preserve">Andrae</t>
  </si>
  <si>
    <t xml:space="preserve">https://doi.org/10.1109/MCE.2015.2484639</t>
  </si>
  <si>
    <t xml:space="preserve">mix
[c-1]</t>
  </si>
  <si>
    <t xml:space="preserve">NA
[c-0]</t>
  </si>
  <si>
    <t xml:space="preserve">Y
[c-0]</t>
  </si>
  <si>
    <t xml:space="preserve">[c-0] LIME v.1
[c-1] most likely logic</t>
  </si>
  <si>
    <t xml:space="preserve">To Which Degree Does Sector Specific Standardization Make Life Cycle Assessments Comparable?—The Case of Global Warming Potential of Smartphones</t>
  </si>
  <si>
    <t xml:space="preserve">https://doi.org/10.3390/challe5020409 </t>
  </si>
  <si>
    <t xml:space="preserve">NA
[c-2]</t>
  </si>
  <si>
    <t xml:space="preserve">[c-1] 7.26 cm^2 of chips, all type considered, see Table 2 in the article.
[c-2] IC impacts are modeled in SimaPro LCA tool and associated LCA databses.</t>
  </si>
  <si>
    <t xml:space="preserve">Precision of a Streamlined Life Cycle Assessment Approach Used in Eco-Rating of Mobile Phones</t>
  </si>
  <si>
    <t xml:space="preserve">https://doi.org/10.3390/challe8020021 </t>
  </si>
  <si>
    <t xml:space="preserve">GLO
[c-3]</t>
  </si>
  <si>
    <t xml:space="preserve">pb
[c-2]</t>
  </si>
  <si>
    <t xml:space="preserve">N
[c-1]</t>
  </si>
  <si>
    <t xml:space="preserve">Note: see p.13, Eq. (10) for 1 cm2. 
[c-1] based on EIME database (p. 13 in the paper)
[c-2] Simplified LCA method (Open Eco Rating LCA, OLCA) used by the open eco rating (OER) sustainability assessment.
[c-3] Mix of electricity location production considered (it consists of several wafer models from different area)</t>
  </si>
  <si>
    <t xml:space="preserve">Life Cycle Assessment of a Smartphone</t>
  </si>
  <si>
    <t xml:space="preserve">Ercan</t>
  </si>
  <si>
    <t xml:space="preserve">http://www.atlantis-press.com/php/paper-details.php?id=25860375</t>
  </si>
  <si>
    <t xml:space="preserve">cf-e</t>
  </si>
  <si>
    <t xml:space="preserve">Average GWP for overall production impacts of all ICs for the assessed smartphone
[c-1] Based on a mix of Ericsson private data, Sony data &amp; GaBi results</t>
  </si>
  <si>
    <t xml:space="preserve">Average GWP for processors and ASICs for the smartphone assessed
[c-1] Based on a mix of Ericsson private data, Sony data &amp; GaBi results</t>
  </si>
  <si>
    <t xml:space="preserve">Life cycle assessment of silicon wafer processing for microelectronic chips and solar cells</t>
  </si>
  <si>
    <t xml:space="preserve">Schmidt</t>
  </si>
  <si>
    <t xml:space="preserve">http://link.springer.com/10.1007/s11367-011-0351-1</t>
  </si>
  <si>
    <t xml:space="preserve">N
[c-4]</t>
  </si>
  <si>
    <t xml:space="preserve">GLO
[c-5] </t>
  </si>
  <si>
    <t xml:space="preserve">Values given p.135-136: 21 tCO2e for 1 m2 of wafer
Note: The reference period is the year 2005.
[c-1] Based on a mix of ecoinvent data and internal data from the M+W GmbH but also Boyd etc
[c-2] see p.127: yield for logic is 84%
[c-3] see p.133
[c-4] Subsequent manufacturing steps like dicing and packaging, utilization, and waste disposal of the final products were not included.
[c-5] EU in ecoinvent but The geographic reference area of the primary data is
the world because it contains average data for approximately 80% of the world’s semiconductor fabrication.</t>
  </si>
  <si>
    <t xml:space="preserve">﻿Green SoCs for a Sustainable Internet-of-Things</t>
  </si>
  <si>
    <t xml:space="preserve">Bol</t>
  </si>
  <si>
    <t xml:space="preserve">https://doi.org/10.1109/FTFC.2013.6577767</t>
  </si>
  <si>
    <t xml:space="preserve">[c-1] We carried out a review of the
scientific LCA literature for these components to generate
a preliminary carbon footprint model for WSN production. + Boyd
[c-2] As suggested in Fig. 2</t>
  </si>
  <si>
    <t xml:space="preserve">https://doi.org/10.1109/FTFC.2013.6577768</t>
  </si>
  <si>
    <t xml:space="preserve">[c-1] We carried out a review of the
scientific LCA literature for these components to generate
a preliminary carbon footprint model for WSN production. + Boyd
[c-2] As suggested in Fig. 3</t>
  </si>
  <si>
    <t xml:space="preserve">https://doi.org/10.1109/FTFC.2013.6577769</t>
  </si>
  <si>
    <t xml:space="preserve">[c-1] We carried out a review of the
scientific LCA literature for these components to generate
a preliminary carbon footprint model for WSN production. + Boyd
[c-2] As suggested in Fig. 4</t>
  </si>
  <si>
    <t xml:space="preserve">Considering fabrication in sustainable computing</t>
  </si>
  <si>
    <t xml:space="preserve">Jones</t>
  </si>
  <si>
    <t xml:space="preserve">http://ieeexplore.ieee.org/document/6691120/</t>
  </si>
  <si>
    <t xml:space="preserve">[c-1] It refers to Yao/Higgs 2010 - Boyd 2009. See Table V with ref to Boyd but this does not fit what is found in Boyd Tables. For this reason, all the data points are not considered, only the last one. Data might be extrapolated from Yao as it does not appear explicitely in 2010 paper. Logic, memory and HDD taken into account in total Si surface</t>
  </si>
  <si>
    <t xml:space="preserve">DTCO including Sustainability: Power-Performance-Area-Cost-Environmental score (PPACE) Analysis for Logic Technologies</t>
  </si>
  <si>
    <t xml:space="preserve">Bardon</t>
  </si>
  <si>
    <t xml:space="preserve">https://ieeexplore.ieee.org/document/9372004/</t>
  </si>
  <si>
    <t xml:space="preserve">GLO
[c-2] </t>
  </si>
  <si>
    <t xml:space="preserve">[c-1] Refers to Boyd 2012 estimation (Infrastructure load : 40% of total)
[c-2] Different scenarios are available for different energy mixes, details on "Garcia Bardon details" sheet
[c-3] FE = FEOL + MOL + BEOL</t>
  </si>
  <si>
    <t xml:space="preserve">[c-1] Refers to Boyd 2012 estimation (Infrastructure load : 40% of total)
[c-2] Different scenarios are available for different energy mixes
[c-3] FE = FEOL + MOL + BEOL</t>
  </si>
  <si>
    <t xml:space="preserve">	
Integrative approaches to environmental life cycle assessment of consumer electronics and connected media</t>
  </si>
  <si>
    <t xml:space="preserve">Teehan</t>
  </si>
  <si>
    <t xml:space="preserve">https://doi.org/10.14288/1.0167496</t>
  </si>
  <si>
    <t xml:space="preserve">Based on a statistical study of 11 existing products, a first-order model for estimation has been derived.
See p.62 : Raw material extraction, processing, final assembly, and transport are included. Modeling assumptions are equivalent to those used in previous ecoinvent studies.
[c-1] Strong dependencies, e.g. ecoinvent and Boyd.
[c-2] US for use phase but for production, no detail.
[c-3] see p.141</t>
  </si>
  <si>
    <t xml:space="preserve">Values adjusted for Hischier et al (2007), see details in sheet "Teehan data".
[c-1] Strong dependencies, e.g. ecoinvent and Boyd.
[c-2] US for use phase but for production, no detail.
[c-3] see p.141</t>
  </si>
  <si>
    <t xml:space="preserve">Values adjusted for IVF (2007), see details in sheet "Teehan data".
[c-1] Strong dependencies, e.g. ecoinvent and Boyd.
[c-2] US for use phase but for production, no detail.
[c-3] see p.141</t>
  </si>
  <si>
    <t xml:space="preserve">Values adjusted for Boyd (2009), see details in sheet "Teehan data".
[c-1] Strong dependencies, e.g. ecoinvent and Boyd.
[c-2] US for use phase but for production, no detail.
[c-3] see p.141</t>
  </si>
  <si>
    <t xml:space="preserve">Values adjusted for Andrae and Anderson (2010), see details in sheet "Teehan data".
[c-1] Strong dependencies, e.g. ecoinvent and Boyd.
[c-2] US for use phase but for production, no detail.
[c-3] see p.141</t>
  </si>
  <si>
    <t xml:space="preserve">Sustainable IC design and fabrication</t>
  </si>
  <si>
    <t xml:space="preserve">Kline</t>
  </si>
  <si>
    <t xml:space="preserve">https://doi.org/10.1109/IGCC.2017.8323572</t>
  </si>
  <si>
    <t xml:space="preserve">L, M</t>
  </si>
  <si>
    <t xml:space="preserve">[c-1] Murphy (2003) + Apple (2015)</t>
  </si>
  <si>
    <t xml:space="preserve">https://doi.org/10.1109/IGCC.2017.8323573</t>
  </si>
  <si>
    <t xml:space="preserve">https://doi.org/10.1109/IGCC.2017.8323574</t>
  </si>
  <si>
    <t xml:space="preserve">https://doi.org/10.1109/IGCC.2017.8323575</t>
  </si>
  <si>
    <t xml:space="preserve">https://doi.org/10.1109/IGCC.2017.8323576</t>
  </si>
  <si>
    <t xml:space="preserve">https://doi.org/10.1109/IGCC.2017.8323577</t>
  </si>
  <si>
    <t xml:space="preserve">https://doi.org/10.1109/IGCC.2017.8323578</t>
  </si>
  <si>
    <t xml:space="preserve">http://www.atlantis-press.com/php/paper-details.php?id=25860375 </t>
  </si>
  <si>
    <t xml:space="preserve">N
</t>
  </si>
  <si>
    <t xml:space="preserve">Average GWP for the memories of the smartphone assessed
[c-1] Based on a mix of Ericsson private data, Sony data &amp; GaBi results</t>
  </si>
  <si>
    <t xml:space="preserve">Values given p.135-136: 6.9 tCO2e for 1 m2 of DRAM wafer.
Note: The reference period is the year 2005.
[c-1] Based on a mix of ecoinvent data and internal data from the M+W GmbH but also Boyd etc
[c-2] [c-5] EU in ecoinvent but The geographic reference area of the primary data is
the world because it contains average data for approximately 80% of the world’s semiconductor fabrication.
[c-3] see p.127: yield for DRAM is 91%
[c-4] see p.133
[c-5] Subsequent manufacturing steps like dicing and packaging, utilization, and waste disposal of the final products were not included.</t>
  </si>
  <si>
    <t xml:space="preserve"> </t>
  </si>
  <si>
    <t xml:space="preserve">Environmental Implications of Product Servicising. The Case of Outsourced Computing Utilities</t>
  </si>
  <si>
    <t xml:space="preserve">Plepys</t>
  </si>
  <si>
    <t xml:space="preserve">https://citeseerx.ist.psu.edu/viewdoc/download?doi=10.1.1.118.6922&amp;rep=rep1&amp;type=pdf</t>
  </si>
  <si>
    <t xml:space="preserve">US</t>
  </si>
  <si>
    <t xml:space="preserve">e-w</t>
  </si>
  <si>
    <t xml:space="preserve">Data from industry but only available in the literature thanks to Plepys (2004).
ATTENTION: values for GWP have NOT been published by Plepys: they have been extrapolated based on the values for the energy.</t>
  </si>
  <si>
    <t xml:space="preserve">https://download.atlantis-press.com/article/25860375.pdf</t>
  </si>
  <si>
    <t xml:space="preserve">Publication date of the paper : 2016
Note: (...) and emissions of high-emitting GWP gases have been reduced from around 1-1.5 kg CO2e/cm2 down to about 0.5 kg CO2e/cm2.</t>
  </si>
  <si>
    <t xml:space="preserve">Measures and trends in energy use of semiconductor manufacturing</t>
  </si>
  <si>
    <t xml:space="preserve">Deng</t>
  </si>
  <si>
    <t xml:space="preserve">https://doi.org/10.1109/ISEE.2008.4562905</t>
  </si>
  <si>
    <t xml:space="preserve">Publication date of the paper : 2008
Data reported for ASM
[c-0] Table 2</t>
  </si>
  <si>
    <t xml:space="preserve">https://doi.org/10.1109/ISEE.2008.4562906</t>
  </si>
  <si>
    <t xml:space="preserve">Publication date of the paper : 2008
Data reported for ASM
[c-0] Table 3</t>
  </si>
  <si>
    <t xml:space="preserve">https://doi.org/10.1109/ISEE.2008.4562907</t>
  </si>
  <si>
    <t xml:space="preserve">Publication date of the paper : 2008
Data reported for ASM
[c-0] Table 4</t>
  </si>
  <si>
    <t xml:space="preserve">https://doi.org/10.1109/ISEE.2008.4562908</t>
  </si>
  <si>
    <t xml:space="preserve">Publication date of the paper : 2008
Data reported for ASM
[c-0] Table 5</t>
  </si>
  <si>
    <t xml:space="preserve">https://doi.org/10.1109/ISEE.2008.4562909</t>
  </si>
  <si>
    <t xml:space="preserve">Publication date of the paper : 2008
Data reported for ASM
[c-0] Table 6</t>
  </si>
  <si>
    <t xml:space="preserve">https://doi.org/10.1109/ISEE.2008.4562910</t>
  </si>
  <si>
    <t xml:space="preserve">Publication date of the paper : 2008
Data reported for ASM
[c-0] Table 7</t>
  </si>
  <si>
    <t xml:space="preserve">https://doi.org/10.1109/ISEE.2008.4562911</t>
  </si>
  <si>
    <t xml:space="preserve">Publication date of the paper : 2008
Data reported for ASM
[c-0] Table 8</t>
  </si>
  <si>
    <t xml:space="preserve">https://doi.org/10.1109/ISEE.2008.4562912</t>
  </si>
  <si>
    <t xml:space="preserve">Publication date of the paper : 2008
Data reported for ASM
[c-0] Table 9</t>
  </si>
  <si>
    <t xml:space="preserve">https://doi.org/10.1109/ISEE.2008.4562913</t>
  </si>
  <si>
    <t xml:space="preserve">Publication date of the paper : 2008
Data reported for ASM
[c-0] Table 10</t>
  </si>
  <si>
    <t xml:space="preserve">https://doi.org/10.1109/ISEE.2008.4562914</t>
  </si>
  <si>
    <t xml:space="preserve">Publication date of the paper : 2008
Data reported for ASM
[c-0] Table 11</t>
  </si>
  <si>
    <t xml:space="preserve">https://doi.org/10.1109/ISEE.2008.4562915</t>
  </si>
  <si>
    <t xml:space="preserve">Publication date of the paper : 2008
Data reported for ASM
[c-0] Table 12</t>
  </si>
  <si>
    <t xml:space="preserve">TWN</t>
  </si>
  <si>
    <t xml:space="preserve">Publication date of the paper : 2008
Data reported for UMC
[c-0] Table 12</t>
  </si>
  <si>
    <t xml:space="preserve">https://doi.org/10.1109/ISEE.2008.4562916</t>
  </si>
  <si>
    <t xml:space="preserve">Publication date of the paper : 2008
Data reported for UMC
[c-0] Table 13</t>
  </si>
  <si>
    <t xml:space="preserve">https://doi.org/10.1109/ISEE.2008.4562917</t>
  </si>
  <si>
    <t xml:space="preserve">Publication date of the paper : 2008
Data reported for UMC
[c-0] Table 14</t>
  </si>
  <si>
    <t xml:space="preserve">https://doi.org/10.1109/ISEE.2008.4562918</t>
  </si>
  <si>
    <t xml:space="preserve">Publication date of the paper : 2008
Data reported for UMC
[c-0] Table 15</t>
  </si>
  <si>
    <t xml:space="preserve">https://doi.org/10.1109/ISEE.2008.4562919</t>
  </si>
  <si>
    <t xml:space="preserve">Publication date of the paper : 2008
Data reported for UMC
[c-0] Table 16</t>
  </si>
  <si>
    <t xml:space="preserve">https://doi.org/10.1109/ISEE.2008.4562920</t>
  </si>
  <si>
    <t xml:space="preserve">Publication date of the paper : 2008
Data reported for UMC
[c-0] Table 17</t>
  </si>
  <si>
    <t xml:space="preserve">https://doi.org/10.1109/ISEE.2008.4562921</t>
  </si>
  <si>
    <t xml:space="preserve">Publication date of the paper : 2008
Data reported for UMC
[c-0] Table 18</t>
  </si>
  <si>
    <t xml:space="preserve">https://doi.org/10.1109/ISEE.2008.4562922</t>
  </si>
  <si>
    <t xml:space="preserve">Publication date of the paper : 2008
Data reported for UMC
[c-0] Table 19</t>
  </si>
  <si>
    <t xml:space="preserve">Publication date of the paper : 2008
Reported for US micro-statistics</t>
  </si>
  <si>
    <t xml:space="preserve">The 1.7 KilogramMicrochip: Energy and Material Use inthe Production of Semiconductor Devices</t>
  </si>
  <si>
    <t xml:space="preserve">Williams</t>
  </si>
  <si>
    <t xml:space="preserve">https://doi.org/10.1021/es025643o</t>
  </si>
  <si>
    <t xml:space="preserve">EXTRAPOLATION DONE BY THE AUTHORS OF THIS STUDY</t>
  </si>
  <si>
    <t xml:space="preserve">Power consumption of semiconductor fabs in Taiwan</t>
  </si>
  <si>
    <t xml:space="preserve">Hu</t>
  </si>
  <si>
    <t xml:space="preserve">https://doi.org/10.1016/S0360-5442(03)00008-2</t>
  </si>
  <si>
    <t xml:space="preserve">150-200</t>
  </si>
  <si>
    <t xml:space="preserve">Publication date of the paper : 2003
EXTRAPOLATION DONE BY THE AUTHORS OF THIS STUDY</t>
  </si>
  <si>
    <t xml:space="preserve">https://doi.org/10.1016/S0360-5442(03)00008-3</t>
  </si>
  <si>
    <t xml:space="preserve">https://doi.org/10.1016/S0360-5442(03)00008-4</t>
  </si>
  <si>
    <t xml:space="preserve">https://doi.org/10.1016/S0360-5442(03)00008-5</t>
  </si>
  <si>
    <t xml:space="preserve">https://doi.org/10.1016/S0360-5442(03)00008-6</t>
  </si>
  <si>
    <t xml:space="preserve">https://doi.org/10.1016/S0360-5442(03)00008-7</t>
  </si>
  <si>
    <t xml:space="preserve">https://doi.org/10.1016/S0360-5442(03)00008-8</t>
  </si>
  <si>
    <t xml:space="preserve">https://doi.org/10.1016/S0360-5442(03)00008-9</t>
  </si>
  <si>
    <t xml:space="preserve">Semiconductors and Sustainability: Energy and Materials Use in
Integrated Circuit Manufacturing</t>
  </si>
  <si>
    <t xml:space="preserve">Branham</t>
  </si>
  <si>
    <t xml:space="preserve">http://hdl.handle.net/1721.1/46056</t>
  </si>
  <si>
    <t xml:space="preserve">UK</t>
  </si>
  <si>
    <t xml:space="preserve">Publication date of the paper : 2008
[c-1] comparison with Williams 2002
EXTRAPOLATION DONE BY THE AUTHORS OF THIS STUDY</t>
  </si>
  <si>
    <t xml:space="preserve">http://hdl.handle.net/1721.1/46057</t>
  </si>
  <si>
    <t xml:space="preserve">http://hdl.handle.net/1721.1/46058</t>
  </si>
  <si>
    <t xml:space="preserve">http://hdl.handle.net/1721.1/46059</t>
  </si>
  <si>
    <t xml:space="preserve">http://hdl.handle.net/1721.1/46060</t>
  </si>
  <si>
    <t xml:space="preserve">http://hdl.handle.net/1721.1/46061</t>
  </si>
  <si>
    <t xml:space="preserve">http://hdl.handle.net/1721.1/46062</t>
  </si>
  <si>
    <t xml:space="preserve">Development of Parametric Material, Energy, and Emission Inventories for Wafer Fabrication in the Semiconductor Industry</t>
  </si>
  <si>
    <t xml:space="preserve">Murphy</t>
  </si>
  <si>
    <t xml:space="preserve">https://doi.org/10.1021/es034434g</t>
  </si>
  <si>
    <t xml:space="preserve">Publication date of the paper : 2003
6-layers
EXTRAPOLATION DONE BY THE AUTHORS OF THIS STUDY</t>
  </si>
  <si>
    <t xml:space="preserve">Publication date of the paper : 2003
8-layers
EXTRAPOLATION DONE BY THE AUTHORS OF THIS STUDY</t>
  </si>
  <si>
    <t xml:space="preserve">Comparative Assessment of Life Cycle Assessment
Methods Used for Personal Computers</t>
  </si>
  <si>
    <t xml:space="preserve">Yao</t>
  </si>
  <si>
    <t xml:space="preserve">https://doi.org/10.1021/es903297k</t>
  </si>
  <si>
    <t xml:space="preserve">Publication date of the paper : 2010
EXTRAPOLATION DONE BY THE AUTHORS OF THIS STUDY</t>
  </si>
  <si>
    <t xml:space="preserve">2020 UMC Corporate Responsibility Report + 20-f Form UMC 2020</t>
  </si>
  <si>
    <t xml:space="preserve">UMC</t>
  </si>
  <si>
    <t xml:space="preserve">mix
[c-0]</t>
  </si>
  <si>
    <t xml:space="preserve">mix
[c-5]</t>
  </si>
  <si>
    <t xml:space="preserve">mix
[c-6]</t>
  </si>
  <si>
    <t xml:space="preserve">Asia
[c-4]</t>
  </si>
  <si>
    <t xml:space="preserve">[c-0] L, M, RF, A
[c-1] UMC is a pure-play foundry, providing mostly wafers or unpackaged dies.
[c-2] Even if numbers provided seems to integrate yield, it is not clearly written in the report.
[c-3] Scope 3 is provided, but the methodology is not described : we chose to not incorporate it in the calculation.
[c-4] Mainly R.O.C, but also China, Singapour and Japan.
[c-5] 500-14nm
[c-6] 300-200mm</t>
  </si>
  <si>
    <t xml:space="preserve">2019 UMC Corporate Responsibility Report + 20-f Form UMC 2019</t>
  </si>
  <si>
    <t xml:space="preserve">2018 UMC Corporate Responsibility Report + 20-f Form UMC 2018</t>
  </si>
  <si>
    <t xml:space="preserve">2017 UMC Corporate Responsibility Report + 20-f Form UMC 2017</t>
  </si>
  <si>
    <t xml:space="preserve">2016 UMC Corporate Responsibility Report + 20-f Form UMC 2016</t>
  </si>
  <si>
    <t xml:space="preserve">2015 UMC Corporate Responsibility Report + 20-f Form UMC 2015</t>
  </si>
  <si>
    <t xml:space="preserve">2014 UMC Corporate Responsibility Report + 20-f Form UMC 2014</t>
  </si>
  <si>
    <t xml:space="preserve">2013 UMC Corporate Responsibility Report + 20-f Form UMC 2013</t>
  </si>
  <si>
    <t xml:space="preserve">2012 UMC Corporate Responsibility Report + 20-f Form UMC 2012</t>
  </si>
  <si>
    <t xml:space="preserve">2011 UMC Corporate Responsibility Report + 20-f Form UMC 2011</t>
  </si>
  <si>
    <t xml:space="preserve">TSMC Corporate Social Responsibility Report 2020 + 20-f form TSMC 2020</t>
  </si>
  <si>
    <t xml:space="preserve">TSMC</t>
  </si>
  <si>
    <t xml:space="preserve">[c-0] L, M, RF, A
[c-1] TSMC is a pure-play foundry, provided numbers include wafers or unpackaged dies.
[c-2] Even if numbers provided seems to integrate yield, it is not clearly written in the report.
[c-3] Scope 3 is provided, but the methodology is not described : we chose to not incorporate it in the calculation.
[c-4] Mainly R.O.C, but also USA and China
[c-5] 3000 - 5
[c-6] 300-200-100mm</t>
  </si>
  <si>
    <t xml:space="preserve">TSMC Corporate Social Responsibility Report 2019 + 20-f form TSMC 2019</t>
  </si>
  <si>
    <t xml:space="preserve">TSMC Corporate Social Responsibility Report 2018 + 20-f form TSMC 2018</t>
  </si>
  <si>
    <t xml:space="preserve">[c-0] L, M, RF, A
[c-1] TSMC is a pure-play foundry, provided numbers include wafers or unpackaged dies.
[c-2] Even if numbers provided seems to integrate yield, it is not clearly written in the report.
[c-3] Scope 3 is provided, but the methodology is not described : we chose to not incorporate it in the calculation.
[c-4] Mainly R.O.C, but also USA and China
[c-5] 3000 - 7
[c-6] 300-200-100mm</t>
  </si>
  <si>
    <t xml:space="preserve">TSMC Corporate Social Responsibility Report 2017 + 20-f form TSMC 2017</t>
  </si>
  <si>
    <t xml:space="preserve">[c-0] L, M, RF, A
[c-1] TSMC is a pure-play foundry, provided numbers include wafers or unpackaged dies.
[c-2] Even if numbers provided seems to integrate yield, it is not clearly written in the report.
[c-3] Scope 3 is provided, but the methodology is not described : we chose to not incorporate it in the calculation.
[c-4] Mainly R.O.C, but also USA and China
[c-5] 3000 - 10
[c-6] 300-200-100mm</t>
  </si>
  <si>
    <t xml:space="preserve">TSMC Corporate Social Responsibility Report 2016 + 20-f form TSMC 2016</t>
  </si>
  <si>
    <t xml:space="preserve">[c-0] L, M, RF, A
[c-1] TSMC is a pure-play foundry, provided numbers include wafers or unpackaged dies.
[c-2] Even if numbers provided seems to integrate yield, it is not clearly written in the report.
[c-3] Scope 3 is provided, but the methodology is not described : we chose to not incorporate it in the calculation.
[c-4] Mainly R.O.C, but also USA and China
[c-5] 3000 - 16
[c-6] 300-200-100mm</t>
  </si>
  <si>
    <t xml:space="preserve">TSMC Corporate Social Responsibility Report 2015 + 20-f form TSMC 2015</t>
  </si>
  <si>
    <t xml:space="preserve">TSMC Corporate Social Responsibility Report 2014 + 20-f form TSMC 2014</t>
  </si>
  <si>
    <t xml:space="preserve">[c-0] L, M, RF, A
[c-1] TSMC is a pure-play foundry, provided numbers include wafers or unpackaged dies.
[c-2] Even if numbers provided seems to integrate yield, it is not clearly written in the report.
[c-3] Information not provided inside CSR and 20F form.
[c-4] Mainly R.O.C, but also USA and China
[c-5] 3000 - 16
[c-6] 300-200-100mm</t>
  </si>
  <si>
    <t xml:space="preserve">TSMC Corporate Social Responsibility Report 2013 + 20-f form TSMC 2013</t>
  </si>
  <si>
    <t xml:space="preserve">TSMC Corporate Social Responsibility Report 2012 + 20-f form TSMC 2012</t>
  </si>
  <si>
    <t xml:space="preserve">[c-0] L, M, RF, A
[c-1] TSMC is a pure-play foundry, provided numbers include wafers or unpackaged dies.
[c-2] Even if numbers provided seems to integrate yield, it is not clearly written in the report.
[c-3] Information not provided inside CSR and 20F form.
[c-4] Mainly R.O.C, but also USA and China
[c-5] 3000 - 28
[c-6] 300-200-100mm</t>
  </si>
  <si>
    <t xml:space="preserve">TSMC Corporate Social Responsibility Report 2011 + 20-f form TSMC 2011</t>
  </si>
  <si>
    <t xml:space="preserve">TSMC Corporate Social Responsibility Report 2010 + 20-f form TSMC 2010</t>
  </si>
  <si>
    <t xml:space="preserve">[c-0] L, M, RF, A
[c-1] TSMC is a pure-play foundry, provided numbers include wafers or unpackaged dies.
[c-2] Even if numbers provided seems to integrate yield, it is not clearly written in the report.
[c-3] Information not provided inside CSR and 20F form.
[c-4] Mainly R.O.C, but also USA and China
[c-5] 3000 - 45
[c-6] 300-200-100mm</t>
  </si>
  <si>
    <t xml:space="preserve">STMicro 2021 Sustainability Report + 20-f form STMicro 2020</t>
  </si>
  <si>
    <t xml:space="preserve">STmicro</t>
  </si>
  <si>
    <t xml:space="preserve">EU
[c-4]</t>
  </si>
  <si>
    <t xml:space="preserve">[c-0] L,M,A,RF, MEMS
[c-1] STMicro is an IDM, but provided numbers include only numbers wafers manufacturing.
[c-2] Even if numbers provided seems to integrate yield, it is not clearly written in the report.
[c-3] Scope 3 provided but surprisingly low. The methodology is not described : we chose to not incorporate it in the calculation.
[c-4] 4 fabs in France, 4 fabs in Italy and 2 fabs in Singapore
[c-5] 300-200-150mm</t>
  </si>
  <si>
    <t xml:space="preserve">STMicro 2020 Sustainability Report + 20-f form STMicro 2019</t>
  </si>
  <si>
    <t xml:space="preserve">STMicro 2019 Sustainability Report + 20-f form STMicro 2018</t>
  </si>
  <si>
    <t xml:space="preserve">STMicro 2018 Sustainability Report + 20-f form STMicro 2017</t>
  </si>
  <si>
    <t xml:space="preserve">STMicro 2017 Sustainability Report + 20-f form STMicro 2016</t>
  </si>
  <si>
    <t xml:space="preserve">STMicro 2016 Sustainability Report + 20-f form STMicro 2015</t>
  </si>
  <si>
    <t xml:space="preserve">STMicro 2014 Sustainability Report + 20-f form STMicro 2014</t>
  </si>
  <si>
    <t xml:space="preserve">STMicro 2013 Sustainability Report + 20-f form STMicro 2013</t>
  </si>
  <si>
    <t xml:space="preserve">STMicro 2012 Sustainability Report + 20-f form STMicro 2012</t>
  </si>
  <si>
    <t xml:space="preserve">STMicro 2011 Sustainability Report + 20-f form STMicro 2011</t>
  </si>
  <si>
    <t xml:space="preserve">SMIC</t>
  </si>
  <si>
    <t xml:space="preserve">https://www.smics.com/uploads/1_&amp;e4&amp;b8&amp;ad&amp;e8&amp;8a&amp;af&amp;e5&amp;9b&amp;bd&amp;e9&amp;99&amp;85&amp;e7&amp;a4&amp;be&amp;e4&amp;bc&amp;9a&amp;e8&amp;b4&amp;a3&amp;e4&amp;bb&amp;bb&amp;e6&amp;8a&amp;a5&amp;e5&amp;91&amp;8a-&amp;e8&amp;8b&amp;b1&amp;e6&amp;96&amp;87&amp;e6&amp;8c&amp;82&amp;e7&amp;bd&amp;91&amp;e7&amp;89&amp;887.26-5.pdf</t>
  </si>
  <si>
    <t xml:space="preserve">[c-0] L,M,A,RF
[c-1] SMIC is a pure-play foundry, provided numbers include wafers or unpackaged dies.
[c-2] Even if numbers provided seems to integrate yield, it is not clearly written in the report.
[c-3] Information not provided inside CSR and financial report.
[c-4] 7 fabs in China
[c-5] 350-14nm
[c-6] 300-200mm</t>
  </si>
  <si>
    <t xml:space="preserve">https://www.smics.com/uploads/2019%20SMIC%20CSR%20Report%20Final-&amp;e8&amp;8b&amp;b1&amp;e6&amp;96&amp;87.pdf</t>
  </si>
  <si>
    <t xml:space="preserve">https://www.smics.com/uploads/2018%20CSR%20Report-EN.pdf</t>
  </si>
  <si>
    <t xml:space="preserve">[c-0] L,M,A,RF
[c-1] SMIC is a pure-play foundry, provided numbers include wafers or unpackaged dies.
[c-2] Even if numbers provided seems to integrate yield, it is not clearly written in the report.
[c-3] Information not provided inside CSR and financial report.
[c-4] 7 fabs in China
[c-5] 350-28nm
[c-6] 300-200mm</t>
  </si>
  <si>
    <t xml:space="preserve">https://www.smics.com/uploads/2017%20SMIC%20CSR%20Report%20_EN.pdf</t>
  </si>
  <si>
    <t xml:space="preserve">https://www.smics.com/uploads/2016_SMIC_CSR_Report.pdf</t>
  </si>
  <si>
    <t xml:space="preserve">https://www.smics.com/uploads/2015_SMIC_CSR_Report.pdf</t>
  </si>
  <si>
    <t xml:space="preserve">https://www.smics.com/uploads/2014_SMIC_CSR_Report.pdf</t>
  </si>
  <si>
    <t xml:space="preserve">[c-0] L,M,A,RF
[c-1] SMIC is a pure-play foundry, provided numbers include wafers or unpackaged dies.
[c-2] Even if numbers provided seems to integrate yield, it is not clearly written in the report.
[c-3] Information not provided inside CSR and financial report.
[c-4] 7 fabs in China
[c-5] 350-40nm
[c-6] 300-200mm</t>
  </si>
  <si>
    <t xml:space="preserve">https://www.smics.com/uploads/2013_SMIC_CSR_Report.pdf</t>
  </si>
  <si>
    <t xml:space="preserve">https://www.smics.com/uploads/2011-2012_SMIC_CSR_Report.pdf</t>
  </si>
  <si>
    <t xml:space="preserve">[c-0] L,M,A,RF
[c-1] SMIC is a pure-play foundry, provided numbers include wafers or unpackaged dies.
[c-2] Even if numbers provided seems to integrate yield, it is not clearly written in the report.
[c-3] Information not provided inside CSR and financial report.
[c-4] 7 fabs in China
[c-5] 350-45nm
[c-6] 300-200mm</t>
  </si>
  <si>
    <t xml:space="preserve">GF</t>
  </si>
  <si>
    <t xml:space="preserve">https://www.globalfoundries.com/sites/default/files/2021-01/gf_2020_csr_report.pdf</t>
  </si>
  <si>
    <t xml:space="preserve">GLO
[c-4]</t>
  </si>
  <si>
    <t xml:space="preserve">[c-0] L,M,A,RF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350-12 nm
[c-6] 300-200mm</t>
  </si>
  <si>
    <t xml:space="preserve">https://gf.com/sites/default/files/gf_crr19_0808_final_2.pdf</t>
  </si>
  <si>
    <t xml:space="preserve">https://gf.com/sites/default/files/gf_crr18_1219a.pdf</t>
  </si>
  <si>
    <t xml:space="preserve">[c-0] L,M,A,RF,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350-14 nm
[c-6] 300-200mm</t>
  </si>
  <si>
    <t xml:space="preserve">https://gf.com/sites/default/files/globalfoundries-2017-csr-report-final.pdf</t>
  </si>
  <si>
    <t xml:space="preserve">[c-0] L,M,A,RF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350-14 nm
[c-6] 300-200mm</t>
  </si>
  <si>
    <t xml:space="preserve">https://gf.com/sites/default/files/gf-2016-csr-report-12-21-16.pdf</t>
  </si>
  <si>
    <t xml:space="preserve">https://gf.com/sites/default/files/globalfoundries-corporate-responsibility-report-9-23-final.pdf</t>
  </si>
  <si>
    <t xml:space="preserve">[c-0] L,M,A,RF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350-28 nm
[c-6] 300-200mm</t>
  </si>
  <si>
    <t xml:space="preserve">https://gf.com/sites/default/files/2012-corporate-responsibility-report.pdf</t>
  </si>
  <si>
    <t xml:space="preserve">[c-0] L,M,A,RF, MEMS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350-28 nm
[c-6] 300-200mm</t>
  </si>
  <si>
    <t xml:space="preserve">ITRS ESH</t>
  </si>
  <si>
    <t xml:space="preserve">ITRS</t>
  </si>
  <si>
    <t xml:space="preserve">https://eps.ieee.org/images/files/Roadmap/ITRSESH2015.pdf </t>
  </si>
  <si>
    <t xml:space="preserve">Publication date for data: 2015
[c-1] cm2 per wafer out
Normalized emission rate (NER) to be 0.22 kgCO2eq/cm2 by 2020, as agreed to by the World Semiconductor Council (WSC). Important: only for emissions of PFC etc... not the value for the whole GWP/cm2 impact.
[c-2] see p.20 in Notes for Table ESH5: Fab = manufacturing space + support systems</t>
  </si>
  <si>
    <t xml:space="preserve">GaBi</t>
  </si>
  <si>
    <t xml:space="preserve">Sphera</t>
  </si>
  <si>
    <t xml:space="preserve">https://gabi.sphera.com/international/databases/gabi-databases/electronics/</t>
  </si>
  <si>
    <t xml:space="preserve">GLO
[c-1]</t>
  </si>
  <si>
    <t xml:space="preserve">hybrid
[c-4]</t>
  </si>
  <si>
    <t xml:space="preserve">[c-1] The production location (energy, materials and fuels) representing a mix of IC producing nations weighted by installed manufacturing capacity.
[c-2] Material and energy consumption of overhead infrastructure included, manufacturing of infrastructure not. Upstream materials are included.
[c-3] Although all process details are not provided, an extensive documentation is available for the users, e.g., http://gabi-documentation-2022.gabi-software.com/xml-data/processes/8a288aab-127f-45c4-9218-ab0308e1c739.xml.
[c-4] Hybrid : process-based for the material-, energy consumption and direct process emission of the manufacturing equipment, top-down
for overheads.</t>
  </si>
  <si>
    <t xml:space="preserve">M
[c-2]</t>
  </si>
  <si>
    <t xml:space="preserve">hybrid
[c-5]</t>
  </si>
  <si>
    <t xml:space="preserve">[c-1] The production location (energy, materials and fuels) representing a mix of IC producing nations weighted by installed manufacturing capacity.
[c-2] DRAM
[c-3] Material and energy consumption of overhead infrastructure included, manufacturing of infrastructure not. Upstream materials are included.
[c-4] Although all process details are not provided, an extensive documentation is available for the users, e.g., http://gabi-documentation-2022.gabi-software.com/xml-data/processes/8a288aab-127f-45c4-9218-ab0308e1c739.xml.
[c-5] Hybrid : process-based for the material-, energy consumption and direct process emission of the manufacturing equipment, top-down
for overheads.</t>
  </si>
  <si>
    <t xml:space="preserve">[c-1] The production location (energy, materials and fuels) representing a mix of IC producing nations weighted by installed manufacturing capacity.
[c-2] Flash
[c-3] Material and energy consumption of overhead infrastructure included, manufacturing of infrastructure not. Upstream materials are included.
[c-4] Although all process details are not provided, an extensive documentation is available for the users, e.g., http://gabi-documentation-2022.gabi-software.com/xml-data/processes/8a288aab-127f-45c4-9218-ab0308e1c739.xml.
[c-5] Hybrid : process-based for the material-, energy consumption and direct process emission of the manufacturing equipment, top-down
for overheads.</t>
  </si>
  <si>
    <t xml:space="preserve">EIME</t>
  </si>
  <si>
    <t xml:space="preserve">BureauVeritas</t>
  </si>
  <si>
    <t xml:space="preserve">see sheet "EIME data"</t>
  </si>
  <si>
    <t xml:space="preserve">[c-1] pre-yield data, wafer level
[c-2] based mainly on TSMC data</t>
  </si>
  <si>
    <t xml:space="preserve">Ecoinvent</t>
  </si>
  <si>
    <t xml:space="preserve">SimaPro and ecoinvent documentation</t>
  </si>
  <si>
    <t xml:space="preserve">200
[c-4]</t>
  </si>
  <si>
    <t xml:space="preserve">GLO
[c-5]</t>
  </si>
  <si>
    <t xml:space="preserve">[c-1] Teehan 2014, William 2002, Hischier 2007, ST micro 2004, SEMI 2012
[c-2] considered through electronic component factory
[c-3] From reception of process chemicals, process gases and silicon wafer at the factory gate. 
[c-4]  in wafer production documentation, 200mm wafer, data from 2000 + FU is per INPUT wafer, 55% yield considered
[c-5] The data is based on two semiconductor companies in the USA and Western Europe representing international standard.
Validity period: 2000-2006. Last Edit: 2016. Still available in ecoinvent v3.5 (2018)</t>
  </si>
  <si>
    <t xml:space="preserve">ENERGY</t>
  </si>
  <si>
    <t xml:space="preserve">[c-1] see Table 3-7, p. 24 for front-end and see section "back-end processes" : "(...) Therefore it is assumed, that one third of the electricity consumption is for back-end and two third for front-end processes." : This is what we assume here.
[c-2]  S.B. Boyd (2012), Schmidt (2011)
[c-3] see p.24 number of good dies per wafer
[c-4] Mainly EU for the use phase but Chinese energy mix is considered for final assembly for instance, see section 3.1.8. p.21.
[c-5] Primary data for the final assembly process was obtained
from Hi-P.</t>
  </si>
  <si>
    <t xml:space="preserve">Note: see Table 3-7, p. 24
[c-1]  S.B. Boyd (2012), Prakash (2013)
[c-2] Deducted from Boyd (2012)
[c-3] BE is not mentioned explicitely in the report. Front-end tables are the same then in Proske 2016 but in Proske 2020, no presence of BE.
[c-4] Mainly EU for the use phase but Chinese energy mix is considered for final assembly for instance (section 3.1.13) and Chinese mix in Table 3-8.</t>
  </si>
  <si>
    <t xml:space="preserve">[c-1] Refers to Boyd 2012 
[c-2] FE = FEOL + MOL + BEOL
</t>
  </si>
  <si>
    <t xml:space="preserve">[c-1] Refers to Boyd 2012
[c-2] EUV process taken into account
[c-3] FE = FEOL + MOL + BEOL
</t>
  </si>
  <si>
    <t xml:space="preserve">[c-1]  Process steps mentionned to be taken into account but no details are given
[c-2] Normalization is given in MJ/die, normalization to MJ/cm^2 is described on "Boyd details" sheet
[c-3] Die packaging is considered see p.38 BUT we cannot find the data associated with the back-end.
[c-4] Mainly from Krishnan (2008, Applied Materials) and Murphy (2003)
</t>
  </si>
  <si>
    <t xml:space="preserve">[c-1]  Process steps mentionned to be taken into account but no details are given
[c-2] Normalization is given in MJ/die, normalization to MJ/cm^2 is described on "Boyd details" sheet
[c-3] Die packaging is considered see p.38 BUT we cannot find the data associated with the back-end.</t>
  </si>
  <si>
    <t xml:space="preserve">Average electricity consumption for processors and ASICs for the smartphone assessed
[c-1] Based on a mix of Ericsson private data, Sony data &amp; GaBi results</t>
  </si>
  <si>
    <t xml:space="preserve">A 25MHz 7μW/MHz ultra-low-voltage microcontroller SoC in 65nm LP/GP CMOS for low-carbon wireless sensor nodes</t>
  </si>
  <si>
    <t xml:space="preserve">N
[c-2]</t>
  </si>
  <si>
    <t xml:space="preserve">[c-1] We carried out a review of the
scientific LCA literature for these components to generate
a preliminary carbon footprint model for WSN production. + Boyd
[c-2] absolute and die size, see sheet for more details</t>
  </si>
  <si>
    <t xml:space="preserve">Application-Aware LCA of Semiconductors: Life-Cycle Energy of Microprocessors from High-Performance 32nm CPU to Ultra-Low-Power 130nm MCU</t>
  </si>
  <si>
    <t xml:space="preserve">https://doi.org/10.1109/ISSST.2011.5936883</t>
  </si>
  <si>
    <t xml:space="preserve">[c-0] S.B. Boyd (2009), S.B. Boyd (2010), S.B. Boyd (2011)
[c-1] absolute and die size, see sheet for more details</t>
  </si>
  <si>
    <t xml:space="preserve">https://doi.org/10.1109/ISSST.2011.5936884</t>
  </si>
  <si>
    <t xml:space="preserve">https://doi.org/10.1109/ISSST.2011.5936885</t>
  </si>
  <si>
    <t xml:space="preserve">https://doi.org/10.1109/ISSST.2011.5936886</t>
  </si>
  <si>
    <t xml:space="preserve">https://doi.org/10.1109/ISSST.2011.5936887</t>
  </si>
  <si>
    <t xml:space="preserve">[c-0] S.B. Boyd (2009), S.B. Boyd (2010), S.B. Boyd (2011), F. Boeuf (2004)
[c-1] absolute and die size, see sheet for more details</t>
  </si>
  <si>
    <t xml:space="preserve">A Life-Cycle Energy and Inventory Analysis of FinFET Integrated Circuits</t>
  </si>
  <si>
    <t xml:space="preserve">Wang</t>
  </si>
  <si>
    <t xml:space="preserve">https://www.mpedram.com/Papers/lifecycle-inventory-analysis-finfet-issst14.pdf</t>
  </si>
  <si>
    <t xml:space="preserve">L
[c-0]</t>
  </si>
  <si>
    <t xml:space="preserve">[c-0] CMOS
[c-1] S.B. Boyd , MCC report
[c-2] absolute and die size, see sheet for more details</t>
  </si>
  <si>
    <t xml:space="preserve">[c-0] FinFET, LR
[c-1] S.B. Boyd , MCC report
[c-2] absolute and die size, see sheet for more details</t>
  </si>
  <si>
    <t xml:space="preserve">[c-0] FinFET, HR
[c-1] S.B. Boyd , MCC report
[c-2] absolute and die size, see sheet for more details</t>
  </si>
  <si>
    <t xml:space="preserve">Values adjusted for Williams (2004), see details in sheet "Teehan data".
[c-1] Strong dependencies, e.g. ecoinvent and Boyd.
[c-2] US for use phase but for production, no detail.
[c-3] see p.141</t>
  </si>
  <si>
    <t xml:space="preserve">Values adjusted for Williams (2002), see details in sheet "Teehan data".
[c-1] Strong dependencies, e.g. ecoinvent and Boyd.
[c-2] US for use phase but for production, no detail.
[c-3] see p.141</t>
  </si>
  <si>
    <t xml:space="preserve">Values adjusted for Krishnan (2008), see details in sheet "Teehan data".
[c-1] Strong dependencies, e.g. ecoinvent and Boyd.
[c-2] US for use phase but for production, no detail.
[c-3] see p.141</t>
  </si>
  <si>
    <t xml:space="preserve">Schaffung einer Datenbasis zur Ermittlung ökologischer Wirkungen der Produkte der Informations und
Kommunikationstechnik (IKT)</t>
  </si>
  <si>
    <t xml:space="preserve">Prakash</t>
  </si>
  <si>
    <t xml:space="preserve">https://www.umweltbundesamt.de/sites/default/files/medien/378/publikationen/texte_82_2013_janssen_informationstechnik_teil_c.pdf</t>
  </si>
  <si>
    <t xml:space="preserve">DRAM DDR3
[c-1] p.43-44 + p.54 Tabelle 30
[c-2] Boyd, Williams, Samsung
[c-3] Tabelle 31 p.55 gives energy for the BE but very low. See Tabelle 26 and Tabelle 27 p. 51: 25-37% contribution.</t>
  </si>
  <si>
    <t xml:space="preserve">[c-1] Normalization is given in MJ/OS, normalization to MJ/cm^2 is described on "Boyd details" sheet
[c-2] Mainly from Krishnan (2008) and Murphy (2003)
[c-3] Die packaging is considered see p.38 BUT we cannot find the data associated with the back-end.</t>
  </si>
  <si>
    <t xml:space="preserve">The global energy footprint of information and communication
technology electronics in connected Internet-of-Things devices</t>
  </si>
  <si>
    <t xml:space="preserve">Das</t>
  </si>
  <si>
    <t xml:space="preserve">https://doi.org/10.1016/j.segan.2020.100408</t>
  </si>
  <si>
    <t xml:space="preserve">[c-1] Explicitely extracted from GaBi 
[c-2] normalization per mm2 of package rather than per mm2 of chip </t>
  </si>
  <si>
    <t xml:space="preserve">https://doi.org/10.1016/j.segan.2020.100409</t>
  </si>
  <si>
    <t xml:space="preserve">https://doi.org/10.1016/j.segan.2020.100410</t>
  </si>
  <si>
    <t xml:space="preserve">https://doi.org/10.1016/j.segan.2020.100411</t>
  </si>
  <si>
    <t xml:space="preserve">https://doi.org/10.1016/j.segan.2020.100412</t>
  </si>
  <si>
    <t xml:space="preserve">https://doi.org/10.1016/j.segan.2020.100413</t>
  </si>
  <si>
    <t xml:space="preserve">https://doi.org/10.1016/j.segan.2020.100414</t>
  </si>
  <si>
    <t xml:space="preserve">https://doi.org/10.1016/j.segan.2020.100415</t>
  </si>
  <si>
    <t xml:space="preserve">https://doi.org/10.1016/j.segan.2020.100416</t>
  </si>
  <si>
    <t xml:space="preserve">https://doi.org/10.1016/j.segan.2020.100417</t>
  </si>
  <si>
    <t xml:space="preserve">https://doi.org/10.1016/j.segan.2020.100418</t>
  </si>
  <si>
    <t xml:space="preserve">https://doi.org/10.1016/j.segan.2020.100419</t>
  </si>
  <si>
    <t xml:space="preserve">https://doi.org/10.1016/j.segan.2020.100420</t>
  </si>
  <si>
    <t xml:space="preserve">https://doi.org/10.1016/j.segan.2020.100421</t>
  </si>
  <si>
    <t xml:space="preserve">Data from industry but only available in the literature thanks to Plepys (2004).</t>
  </si>
  <si>
    <t xml:space="preserve">Publication date of the paper : 2016
[c-1] Both values are given in the paper: with and without yields: so both are reported here but in different lines as the scope is not the same</t>
  </si>
  <si>
    <t xml:space="preserve">Publication date of the paper : 2016</t>
  </si>
  <si>
    <t xml:space="preserve">Economic-balance hybrid LCA extended with uncertainty analysis: case study of a laptop computer</t>
  </si>
  <si>
    <t xml:space="preserve">https://doi.org/10.1016/j.jclepro.2011.03.004</t>
  </si>
  <si>
    <t xml:space="preserve">Publication date of the paper : 2011</t>
  </si>
  <si>
    <t xml:space="preserve">https://doi.org/10.1016/j.jclepro.2011.03.005</t>
  </si>
  <si>
    <t xml:space="preserve">https://doi.org/10.1016/j.jclepro.2011.03.006</t>
  </si>
  <si>
    <t xml:space="preserve">https://doi.org/10.1016/j.jclepro.2011.03.007</t>
  </si>
  <si>
    <t xml:space="preserve">[c-1] see p.5509</t>
  </si>
  <si>
    <t xml:space="preserve">A Hybrid Life Cycle Inventory of Nano-Scale Semiconductor Manufacturing</t>
  </si>
  <si>
    <t xml:space="preserve">Krishnan</t>
  </si>
  <si>
    <t xml:space="preserve">https://pubs.acs.org/doi/abs/10.1021/es071174k</t>
  </si>
  <si>
    <t xml:space="preserve">https://doi.org/10.1109/ISEE.2008.4562888</t>
  </si>
  <si>
    <t xml:space="preserve">Publication date of the paper : 2008
Reported for ASM
[c-0] Table 2</t>
  </si>
  <si>
    <t xml:space="preserve">https://doi.org/10.1109/ISEE.2008.4562889</t>
  </si>
  <si>
    <t xml:space="preserve">https://doi.org/10.1109/ISEE.2008.4562890</t>
  </si>
  <si>
    <t xml:space="preserve">https://doi.org/10.1109/ISEE.2008.4562891</t>
  </si>
  <si>
    <t xml:space="preserve">https://doi.org/10.1109/ISEE.2008.4562892</t>
  </si>
  <si>
    <t xml:space="preserve">https://doi.org/10.1109/ISEE.2008.4562893</t>
  </si>
  <si>
    <t xml:space="preserve">https://doi.org/10.1109/ISEE.2008.4562894</t>
  </si>
  <si>
    <t xml:space="preserve">https://doi.org/10.1109/ISEE.2008.4562895</t>
  </si>
  <si>
    <t xml:space="preserve">https://doi.org/10.1109/ISEE.2008.4562896</t>
  </si>
  <si>
    <t xml:space="preserve">https://doi.org/10.1109/ISEE.2008.4562897</t>
  </si>
  <si>
    <t xml:space="preserve">https://doi.org/10.1109/ISEE.2008.4562898</t>
  </si>
  <si>
    <t xml:space="preserve">Publication date of the paper : 2008
Reported for UMC
[c-0] Table 2</t>
  </si>
  <si>
    <t xml:space="preserve">https://doi.org/10.1109/ISEE.2008.4562899</t>
  </si>
  <si>
    <t xml:space="preserve">https://doi.org/10.1109/ISEE.2008.4562900</t>
  </si>
  <si>
    <t xml:space="preserve">https://doi.org/10.1109/ISEE.2008.4562901</t>
  </si>
  <si>
    <t xml:space="preserve">https://doi.org/10.1109/ISEE.2008.4562902</t>
  </si>
  <si>
    <t xml:space="preserve">https://doi.org/10.1109/ISEE.2008.4562903</t>
  </si>
  <si>
    <t xml:space="preserve">https://doi.org/10.1109/ISEE.2008.4562904</t>
  </si>
  <si>
    <t xml:space="preserve">Publication date of the paper : 2003</t>
  </si>
  <si>
    <t xml:space="preserve">Publication date of the paper : 2008
[c-1] comparison with Williams 2002</t>
  </si>
  <si>
    <t xml:space="preserve">Publication date of the paper : 2003
6-layers</t>
  </si>
  <si>
    <t xml:space="preserve">Publication date of the paper : 2003
8-layers</t>
  </si>
  <si>
    <t xml:space="preserve">Publication date of the paper : 2010</t>
  </si>
  <si>
    <t xml:space="preserve">[c-0] L, M, RF, A
[c-1] UMC is a pure-play foundry, providing mostly wafers or unpackaged dies.
[c-2] Even numbers provided seem to integrate yield, it is not clearly written in the report.
[c-3] Scope 3 is provided, but the methodology is not described : we chose to not incorporate it in the calculation.
[c-4] Mainly R.O.C, but also China, Singapour and Japan.
[c-5] 500-14nm
[c-6] 300-200mm</t>
  </si>
  <si>
    <t xml:space="preserve">[c-0] L, M, RF, A
[c-1] TSMC is a pure-play foundry, provided numbers includes wafers or unpackaged dies.
[c-2] Even numbers provided seem to integrate yield, it is not clearly written in the report.
[c-3] Scope 3 is provided, but the methodology is not described : we chose to not incorporate it in the calculation.
[c-4] Mainly R.O.C, but also USA and China
[c-5] 3000 - 5
[c-6] 300-200-100mm</t>
  </si>
  <si>
    <t xml:space="preserve">[c-0] L, M, RF, A
[c-1] TSMC is a pure-play foundry, provided numbers includes wafers or unpackaged dies.
[c-2] Even numbers provided seem to integrate yield, it is not clearly written in the report.
[c-3] Scope 3 is provided, but the methodology is not described : we chose to not incorporate it in the calculation.
[c-4] Mainly R.O.C, but also USA and China
[c-5] 3000 - 7
[c-6] 300-200-100mm</t>
  </si>
  <si>
    <t xml:space="preserve">[c-0] L, M, RF, A
[c-1] TSMC is a pure-play foundry, provided numbers includes wafers or unpackaged dies.
[c-2] Even numbers provided seem to integrate yield, it is not clearly written in the report.
[c-3] Scope 3 is provided, but the methodology is not described : we chose to not incorporate it in the calculation.
[c-4] Mainly R.O.C, but also USA and China
[c-5] 3000 - 10
[c-6] 300-200-100mm</t>
  </si>
  <si>
    <t xml:space="preserve">[c-0] L, M, RF, A
[c-1] TSMC is a pure-play foundry, provided numbers includes wafers or unpackaged dies.
[c-2] Even numbers provided seem to integrate yield, it is not clearly written in the report.
[c-3] Scope 3 is provided, but the methodology is not described : we chose to not incorporate it in the calculation.
[c-4] Mainly R.O.C, but also USA and China
[c-5] 3000 - 16
[c-6] 300-200-100mm</t>
  </si>
  <si>
    <t xml:space="preserve">[c-0] L, M, RF, A
[c-1] TSMC is a pure-play foundry, provided numbers includes wafers or unpackaged dies.
[c-2] Even numbers provided seem to integrate yield, it is not clearly written in the report.
[c-3] Information not provided inside CSR and 20F form.
[c-4] Mainly R.O.C, but also USA and China
[c-5] 3000 - 16
[c-6] 300-200-100mm</t>
  </si>
  <si>
    <t xml:space="preserve">[c-0] L, M, RF, A
[c-1] TSMC is a pure-play foundry, provided numbers includes wafers or unpackaged dies.
[c-2] Even numbers provided seem to integrate yield, it is not clearly written in the report.
[c-3] Information not provided inside CSR and 20F form.
[c-4] Mainly R.O.C, but also USA and China
[c-5] 3000 - 28
[c-6] 300-200-100mm</t>
  </si>
  <si>
    <t xml:space="preserve">[c-0] L, M, RF, A
[c-1] TSMC is a pure-play foundry, provided numbers includes wafers or unpackaged dies.
[c-2] Even numbers provided seem to integrate yield, it is not clearly written in the report.
[c-3] Information not provided inside CSR and 20F form.
[c-4] Mainly R.O.C, but also USA and China
[c-5] 3000 - 45
[c-6] 300-200-100mm</t>
  </si>
  <si>
    <t xml:space="preserve">EU [c-4]</t>
  </si>
  <si>
    <t xml:space="preserve">[c-0] L,M,A,RF, MEMS
[c-1] STMicro is an IDM, but provided numbers includes only numbers wafers manufacturing.
[c-2] Even numbers provided seem to integrate yield, it is not clearly written in the report.
[c-3] Information not provided inside CSR and 20-F Form
[c-4] 4 fabs in France, 4 fabs in Italy and 2 fabs in Singapore
[c-5] 300-200-150mm</t>
  </si>
  <si>
    <t xml:space="preserve">Publication date for data: 2015
NON EUV
[c-1] cm2 per wafer out
[c-2] Total Fab energy usage, + see p.20 in Notes for Table ESH5: Fab = manufacturing space + support systems</t>
  </si>
  <si>
    <t xml:space="preserve">Publication date for data: 2015
EUV
[c-1] cm2 per wafer out
[c-2] Total Fab energy usage, + see p.20 in Notes for Table ESH5: Fab = manufacturing space + support systems</t>
  </si>
  <si>
    <t xml:space="preserve">h</t>
  </si>
  <si>
    <t xml:space="preserve">WATER</t>
  </si>
  <si>
    <t xml:space="preserve">[c-0] Infrastructure payload is taken from Boyd results (40%). This is taken as first approximation
[c-1] Refers to Boyd 2012
[c-2]  Result is total UPW for the fabrication process, upstream water usage is not taken into account. Recycling can be as high as 88% but whether it is included or not in the result is unclear
[c-3] FE = FEOL + MOL + BEOL</t>
  </si>
  <si>
    <t xml:space="preserve">N
[c-6]</t>
  </si>
  <si>
    <t xml:space="preserve">Y
[c-5]</t>
  </si>
  <si>
    <t xml:space="preserve">[c-1] US- average for fab electricity upstream water usage
[c-2] Process steps mentionned to be taken into account but no details are given
[c-3] Normalization is given in L/die, normalization to L/cm^2 is described on "Boyd details" sheet 
[c-4] Recycling of post-process UPW is not assumed 
[c-5] Mainly Krishnan (2008) and Murphy (2003)
[c-6] Die packaging is considered see p.38 BUT we cannot find the data associated with the back-end.</t>
  </si>
  <si>
    <t xml:space="preserve">https://www.umweltbundesamt.de/publikationen/schaffung-einer-datenbasis-zur-ermittlung </t>
  </si>
  <si>
    <t xml:space="preserve">M
[c-1]</t>
  </si>
  <si>
    <t xml:space="preserve">mix
[c-2]</t>
  </si>
  <si>
    <t xml:space="preserve">see Tabelle 30 p.54
[c-1] DRAM DDR3
[c-2] form sent to experts of the field, to create new data for screen and memory ICs + litterature 
[c-3] 73% yield considered
[c-4] production of chemicals etc are NOT included. But the production of Si ingot etc is considered, but main chemicals are considered in the process
[c-5] Boyd 2012 regarding yield, ProBas data imported and exported</t>
  </si>
  <si>
    <t xml:space="preserve">Publication date of the paper : 2002</t>
  </si>
  <si>
    <t xml:space="preserve">Publication date of the paper : 2002
Lower bound for wafer production
[c-1] The value is the value from : Peters, L. Sem iconductor International 1998, 21(2), 71.</t>
  </si>
  <si>
    <t xml:space="preserve">Publication date of the paper : 2002
Upper bound for wafer production
[c-1] The value is the value from : Peters, L. Sem iconductor International 1998, 21(2), 71.</t>
  </si>
  <si>
    <t xml:space="preserve">Publication date of the paper : 2002
For chip manufacturing facilities
[c-1] The value is the value from : Genova, J.; Shadman, F. Environmental Progress 1997, 16(4).</t>
  </si>
  <si>
    <t xml:space="preserve">Semiconductors and Sustainability: Energy and Materials Use in Integrated Circuit Manufacturing</t>
  </si>
  <si>
    <t xml:space="preserve">Publication date of the paper : 2008
[c-1] comparison with Williams 2003</t>
  </si>
  <si>
    <t xml:space="preserve">Publication date of the paper : 2008
[c-1] comparison with Williams 2004</t>
  </si>
  <si>
    <t xml:space="preserve">Publication date of the paper : 2008
[c-1] comparison with Williams 2005</t>
  </si>
  <si>
    <t xml:space="preserve">[c-0] L, M, RF, A
[c-1] UMC is a pure-play foundry, providing mostly wafers or unpackaged dies.
[c-2] Even numbers provided seems to integrate yield, it is not clearly written in the report.
[c-3] Information not provided inside CSR and 20-F Form
[c-4] Mainly R.O.C, but also China, Singapour and Japan.
[c-5] 500-14nm
[c-6] 300-200mm</t>
  </si>
  <si>
    <t xml:space="preserve">pros</t>
  </si>
  <si>
    <t xml:space="preserve">[c-0]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3000 - 5
[c-6] 300-200-100mm</t>
  </si>
  <si>
    <t xml:space="preserve">[c-0]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3000 - 7
[c-6] 300-200-100mm</t>
  </si>
  <si>
    <t xml:space="preserve">[c-0]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3000 - 10
[c-6] 300-200-100mm</t>
  </si>
  <si>
    <t xml:space="preserve">[c-0]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3000 - 16
[c-6] 300-200-100mm</t>
  </si>
  <si>
    <t xml:space="preserve">[c-0]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3000 - 16
[c-6] 300-200-100mm</t>
  </si>
  <si>
    <t xml:space="preserve">[c-0]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3000 - 28
[c-6] 300-200-100mm</t>
  </si>
  <si>
    <t xml:space="preserve">[c-0]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3000 - 45
[c-6] 300-200-100mm</t>
  </si>
  <si>
    <t xml:space="preserve">[c-0] L,M,A,RF, MEMS
[c-1] STMicro is an IDM, but provided numbers includes only numbers wafers manufacturing.
[c-2] Even numbers provided seems to integrate yield, it is not clearly written in the report.
[c-3] Information not provided inside CSR and 20-F Form
[c-4] 4 fabs in France, 4 fabs in Italy and 2 fabs in Singapore
[c-5] 300-200-150mm</t>
  </si>
  <si>
    <t xml:space="preserve">NA
[c-3]</t>
  </si>
  <si>
    <t xml:space="preserve">Publication date for data: 2015
[c-1] cm2 per wafer out
[c-2] see p.20 in Notes for Table ESH5: Fab = manufacturing space + support systems
[c-3] ITRS gathers industrials, so dependencies might exist but this is not clear</t>
  </si>
  <si>
    <t xml:space="preserve">Parameter</t>
  </si>
  <si>
    <t xml:space="preserve">Units</t>
  </si>
  <si>
    <t xml:space="preserve">Comment</t>
  </si>
  <si>
    <t xml:space="preserve">PEF (elec) 2010-2020</t>
  </si>
  <si>
    <t xml:space="preserve">MJ/MJ</t>
  </si>
  <si>
    <t xml:space="preserve">https://ec.europa.eu/energy/sites/ener/files/documents/final_report_pef_eed.pdf 
https://www.ehpa.org/about/news/article/the-importance-of-a-revised-primary-energy-factor-pef-towards-achieving-the-eus-long-term-energy/ </t>
  </si>
  <si>
    <t xml:space="preserve"> </t>
  </si>
  <si>
    <t xml:space="preserve">PEF (steam)</t>
  </si>
  <si>
    <t xml:space="preserve">PEF (renewable)</t>
  </si>
  <si>
    <t xml:space="preserve">PEF (gas)</t>
  </si>
  <si>
    <t xml:space="preserve">PEF (elec) 1980-2010</t>
  </si>
  <si>
    <t xml:space="preserve">The same PEF is considered to remove variability from improvements that are not due to the fab</t>
  </si>
  <si>
    <t xml:space="preserve">Figure 3.6 from Teehan (2014)</t>
  </si>
  <si>
    <t xml:space="preserve">Electricity carbon intensity 1980-2010</t>
  </si>
  <si>
    <t xml:space="preserve">kgCO2e/kWh_elec</t>
  </si>
  <si>
    <t xml:space="preserve">https://ourworldindata.org/grapher/carbon-intensity-electricity?tab=chart&amp;time=earliest..latest&amp;region=World
https://www.iea.org/reports/global-energy-co2-status-report-2019/emissions</t>
  </si>
  <si>
    <t xml:space="preserve">0.226 (EU27, 2020) ; 0.4 (EU27, 2000) ; 0.475 (World, 2020)
We take 2020 as reference to avoid having the electricity mix that shifts value (this should be considered only if foundries have their own renewable plants)</t>
  </si>
  <si>
    <t xml:space="preserve">Conversion (physics)</t>
  </si>
  <si>
    <t xml:space="preserve">Conversion MJ-kWh</t>
  </si>
  <si>
    <t xml:space="preserve">MJ/kWh</t>
  </si>
  <si>
    <t xml:space="preserve">/</t>
  </si>
  <si>
    <t xml:space="preserve">Conversion inch2 to cm2</t>
  </si>
  <si>
    <t xml:space="preserve">cm2/inch2</t>
  </si>
  <si>
    <t xml:space="preserve">Coonversion 8" wafer to cm2</t>
  </si>
  <si>
    <t xml:space="preserve">Source :</t>
  </si>
  <si>
    <t xml:space="preserve">Obtained directly from Bureau Veritas (explicit authorization to share these data)</t>
  </si>
  <si>
    <t xml:space="preserve">Taille de lithographie (nm)</t>
  </si>
  <si>
    <t xml:space="preserve">Nombre de mask</t>
  </si>
  <si>
    <t xml:space="preserve">GWP (kg CO2eq/cm2)</t>
  </si>
  <si>
    <t xml:space="preserve">Primary energy (MJ/cm2)</t>
  </si>
  <si>
    <t xml:space="preserve">Eau (m3/cm2)</t>
  </si>
  <si>
    <t xml:space="preserve">Water (Liters/cm2)</t>
  </si>
  <si>
    <t xml:space="preserve">The data used in this study have be obtained directly from Bureau Veritas and are used in the recent Nagaoctet database as well. They provided directly the normalized values which are reported in this paper. The results are given for pre-yield data, i.e., at the wafer level and the modeling is mainly based on TSMC data for the year 2019. As they only disclose scope 1 and 2 for GHG emissions, primary data from 4 others industries was used to have a wider modeling. They assume a Taiwanese energy mix.</t>
  </si>
  <si>
    <t xml:space="preserve">Obtained directly from Sphera</t>
  </si>
  <si>
    <t xml:space="preserve">Quantitative data is not disclosed because of confidentiality reasons but raw data used for the figures were provided directly by Sphera.</t>
  </si>
  <si>
    <t xml:space="preserve">Technology node (nm)</t>
  </si>
  <si>
    <t xml:space="preserve">Technology type</t>
  </si>
  <si>
    <t xml:space="preserve">Water (Liter/cm2)</t>
  </si>
  <si>
    <t xml:space="preserve">Logic</t>
  </si>
  <si>
    <t xml:space="preserve">Memory</t>
  </si>
  <si>
    <t xml:space="preserve">The data used in this study have be obtained directly from Sphera, for the additional GaBi Electronics Extension XI database. Sphera provided the normalized values which are reported in this paper. Yet, the exact raw values are not disclosed in the Excel file for confidentiality reasons. Raw wafer supply, front-end processing, and wafer cutting are included. Yields are also taken into account, i.e., line-yield, cut-yield, die-yield and wafer-yield. For the GWP, the EF 3.0 Climate Change was used. For the primary energy, the indicator primary energy demand from renewable and non renewable resources (net calorific value) was used. For the water consumption, it was the total freshwater consumption indicator, including rainwater.</t>
  </si>
  <si>
    <t xml:space="preserve">https://doi.org/10.1016/j.eiar.2020.106416</t>
  </si>
  <si>
    <t xml:space="preserve">https://v35.ecoquery.ecoinvent.org/Details/UPR/fee4fec6-157c-4e9c-b991-31b43a881e41/8b738ea0-f89e-4627-8679-433616064e82 </t>
  </si>
  <si>
    <t xml:space="preserve">Documentation</t>
  </si>
  <si>
    <t xml:space="preserve">Based on SimaPro-Ecoinvent v3</t>
  </si>
  <si>
    <t xml:space="preserve">(valid until 2018) </t>
  </si>
  <si>
    <t xml:space="preserve">(GLO), Cut-off, Production</t>
  </si>
  <si>
    <t xml:space="preserve">data 2000-2006 ? </t>
  </si>
  <si>
    <t xml:space="preserve">last edited in our SimaPro : 2016</t>
  </si>
  <si>
    <t xml:space="preserve">The dataset has been extrapolated from year 2006 to 2018. The uncertainty has been adjusted accordingly</t>
  </si>
  <si>
    <t xml:space="preserve">for 1 kg of wafer</t>
  </si>
  <si>
    <t xml:space="preserve">kgCO2eq</t>
  </si>
  <si>
    <t xml:space="preserve">m3</t>
  </si>
  <si>
    <t xml:space="preserve">MJ</t>
  </si>
  <si>
    <t xml:space="preserve">Conversion kg-cm2</t>
  </si>
  <si>
    <t xml:space="preserve">ATTENTION: error in the DB ecoinvent that has been pointed out in Clément et al. (2020)</t>
  </si>
  <si>
    <t xml:space="preserve">1 kg of wafer equals </t>
  </si>
  <si>
    <t xml:space="preserve">cm2</t>
  </si>
  <si>
    <t xml:space="preserve">[1]</t>
  </si>
  <si>
    <t xml:space="preserve">according to Clément et al. (2020), with correction </t>
  </si>
  <si>
    <t xml:space="preserve">1 kg of wafer equals</t>
  </si>
  <si>
    <t xml:space="preserve">[2]</t>
  </si>
  <si>
    <t xml:space="preserve">according to Philippe (2020), WITHOUT correction </t>
  </si>
  <si>
    <t xml:space="preserve">[3]</t>
  </si>
  <si>
    <t xml:space="preserve">according to ecoinvent doc https://v35.ecoquery.ecoinvent.org/Details/UPR/fee4fec6-157c-4e9c-b991-31b43a881e41/8b738ea0-f89e-4627-8679-433616064e82</t>
  </si>
  <si>
    <t xml:space="preserve">Note: strong assumptions is that 2% of the mass of the final packaged IC is Si. Then, average die size is obtained by using Si density and average Si thickness</t>
  </si>
  <si>
    <t xml:space="preserve">Normalized environ impacts &lt;i&gt;/cm2</t>
  </si>
  <si>
    <t xml:space="preserve">kgCO2eq/cm2</t>
  </si>
  <si>
    <t xml:space="preserve">Liter/cm2</t>
  </si>
  <si>
    <t xml:space="preserve">MJ/cm2</t>
  </si>
  <si>
    <t xml:space="preserve">Ecoinvent data used in this study has been obtained by combining both the information provided by Ecoinvent and the analysis provided in the supplementary material of Clément et al. (2020). Indeed, they showed that an error was present in Ecoinvent for the wafer production modeling, therefore impacting the final value in the database. In the Ecoinvent documentation v3.5, they use a value of 180 cm2 for the production of 1 kg of integrated circuit (logic type), which is close to the corrected value proposed by Clément et al. (2020). The data used in this study has been obtained by scaling the values yielded for 1 kg of integrated circuit (logic) by the associated die size, i.e., 180 cm2. Also, a strong assumption in Ecoinvent is assuming that 2% of the mass of the final packaged IC is Si. The conversion between mass and area is done by considering the Si density (2.33 g/cm3) and the average Si thickness (725 µm). Note that in the documentation from Ecoinvent, it is specified that the dataset has been extrapolated from year 2006 to 2018. Even though they also highlight that the uncertainty has been adjusted accordingly, this data is most likely out-dated which supports the fact that Ecoinvent is not the best suited for LCA of semiconductors [Ercan (2016), Clément et al. (2020)].</t>
  </si>
  <si>
    <t xml:space="preserve">GHG</t>
  </si>
  <si>
    <t xml:space="preserve">Energy</t>
  </si>
  <si>
    <t xml:space="preserve">Water</t>
  </si>
  <si>
    <t xml:space="preserve">Production</t>
  </si>
  <si>
    <t xml:space="preserve">TOTAL (scope 1+2)</t>
  </si>
  <si>
    <t xml:space="preserve">scope 1 kCO2ep/cm²</t>
  </si>
  <si>
    <t xml:space="preserve">scope 2 kCO2ep/cm²</t>
  </si>
  <si>
    <t xml:space="preserve">scope 3 kCO2ep/cm²</t>
  </si>
  <si>
    <t xml:space="preserve">scope 1 tCO2eq</t>
  </si>
  <si>
    <t xml:space="preserve">scope 2 tCO2eq</t>
  </si>
  <si>
    <t xml:space="preserve">scope 3 tCO2eq</t>
  </si>
  <si>
    <t xml:space="preserve">TOTAL</t>
  </si>
  <si>
    <t xml:space="preserve">Electricity primary MJ/cm²</t>
  </si>
  <si>
    <t xml:space="preserve">Renewable primary MJ/cm²</t>
  </si>
  <si>
    <t xml:space="preserve">Steam primary MJ/cm²</t>
  </si>
  <si>
    <t xml:space="preserve">Natural gas 
MJ/cm²</t>
  </si>
  <si>
    <t xml:space="preserve">Electricity final
GWh</t>
  </si>
  <si>
    <t xml:space="preserve">Renewable final
GWh</t>
  </si>
  <si>
    <t xml:space="preserve">Steam
GWh</t>
  </si>
  <si>
    <t xml:space="preserve">Natural gas final
GWh</t>
  </si>
  <si>
    <t xml:space="preserve">intake l/cm²</t>
  </si>
  <si>
    <t xml:space="preserve">recycled l/cm²</t>
  </si>
  <si>
    <t xml:space="preserve">intake k(m³)</t>
  </si>
  <si>
    <t xml:space="preserve">recycled k(m³)</t>
  </si>
  <si>
    <t xml:space="preserve">k-8" wafer</t>
  </si>
  <si>
    <t xml:space="preserve">cm²</t>
  </si>
  <si>
    <t xml:space="preserve">CSR</t>
  </si>
  <si>
    <t xml:space="preserve">Scopes in CSR
prod in annual report (90% loading)</t>
  </si>
  <si>
    <t xml:space="preserve">Scopes in CSR
prod in annual report
Water consumption is the sum of intake and recycled waters. Intake water includes tap, rain and condensated water</t>
  </si>
  <si>
    <t xml:space="preserve">20-F</t>
  </si>
  <si>
    <t xml:space="preserve">Scope in CSR
prod in annual report</t>
  </si>
  <si>
    <t xml:space="preserve">Scope in CSR
prod in annual report with 90% loading assumption</t>
  </si>
  <si>
    <t xml:space="preserve">Capacity wafer per week
[k-wafer]</t>
  </si>
  <si>
    <t xml:space="preserve">number of week in a year</t>
  </si>
  <si>
    <t xml:space="preserve">Production load (%)</t>
  </si>
  <si>
    <t xml:space="preserve">normalize water usage per unit regarding a year of reference</t>
  </si>
  <si>
    <t xml:space="preserve">ST case is more complicated because they are not expanding as TSMC or UMC, so we can not just say that they are using 90% loading each year.  In this case, we chose to consider they were at 90% in 2017 and then use the normalize water consumption to compute each year production.</t>
  </si>
  <si>
    <t xml:space="preserve">year of reference in the calculation</t>
  </si>
  <si>
    <t xml:space="preserve">Absolute data taken in CSR. Production taken by summing trimestrial wafer shipments in financial presentation.</t>
  </si>
  <si>
    <t xml:space="preserve">Financial Report</t>
  </si>
  <si>
    <t xml:space="preserve">Normalized elec (kWh/MI)</t>
  </si>
  <si>
    <t xml:space="preserve">k-MI</t>
  </si>
  <si>
    <t xml:space="preserve">cm²/(k-MI)</t>
  </si>
  <si>
    <t xml:space="preserve">Absolute data taken in CSR.  Production taken in F-1 Form 2021</t>
  </si>
  <si>
    <t xml:space="preserve">1-F</t>
  </si>
  <si>
    <t xml:space="preserve">Absolute data taken in CSR. Production deduced from absolute data and relative to Manufacturing unit data.  Relation between cm² and MI is deduced to be 40 cm²/MI, thanks to 2020,2019,2018 data. Strong assumption here</t>
  </si>
  <si>
    <t xml:space="preserve">Manufacturable solutions exist, and are being optimized</t>
  </si>
  <si>
    <t xml:space="preserve">ITRS reports (ESH) - 2001, 2003, 2007, 2015, 2017</t>
  </si>
  <si>
    <t xml:space="preserve">We assume that total fab energy usage accounts for the infrastructure consumption. For the water consumption, we added that net feed water use and the fab UPW use, although these are two types of water with different properties.</t>
  </si>
  <si>
    <t xml:space="preserve">Manufacturable solutions are known</t>
  </si>
  <si>
    <t xml:space="preserve">Manufacturable solutions are NOT known</t>
  </si>
  <si>
    <t xml:space="preserve">Values in red = extrapolated to have a continuous baseline in 2001</t>
  </si>
  <si>
    <t xml:space="preserve">This data (MJ/cm2) is converted from the original data in (kWh/cm2) provided here under</t>
  </si>
  <si>
    <t xml:space="preserve">This data (Liters/cm2) is the sum of total fab water and UPW water, see the original data in (Liters/cm2) provided here under</t>
  </si>
  <si>
    <t xml:space="preserve">Original data</t>
  </si>
  <si>
    <t xml:space="preserve">Focus</t>
  </si>
  <si>
    <t xml:space="preserve">Overall fab equipment (MJ/cm2)</t>
  </si>
  <si>
    <t xml:space="preserve">Fab facility (MJ/cm2)</t>
  </si>
  <si>
    <t xml:space="preserve">Total energy consumption (MJ/cm2)</t>
  </si>
  <si>
    <t xml:space="preserve">Total fab water consumption (Liters/cm2)</t>
  </si>
  <si>
    <t xml:space="preserve">Recycle/Reuse rate (%)</t>
  </si>
  <si>
    <t xml:space="preserve">GHG emissions (kgCO2eq/cm2)</t>
  </si>
  <si>
    <t xml:space="preserve">Total fab tools</t>
  </si>
  <si>
    <t xml:space="preserve">Total fab support systems energy usage</t>
  </si>
  <si>
    <t xml:space="preserve">Total fab energy usage </t>
  </si>
  <si>
    <t xml:space="preserve">Non EUV</t>
  </si>
  <si>
    <t xml:space="preserve">EUV</t>
  </si>
  <si>
    <t xml:space="preserve">(200mm fabs)</t>
  </si>
  <si>
    <t xml:space="preserve">(300mm fabs)</t>
  </si>
  <si>
    <t xml:space="preserve">NER, F-GHG only (WSC)</t>
  </si>
  <si>
    <t xml:space="preserve">ITRS report</t>
  </si>
  <si>
    <t xml:space="preserve">ESH 2001</t>
  </si>
  <si>
    <t xml:space="preserve">ESH 2003</t>
  </si>
  <si>
    <t xml:space="preserve">ESH 2007</t>
  </si>
  <si>
    <t xml:space="preserve">ESH 2015</t>
  </si>
  <si>
    <t xml:space="preserve">ESH 2017</t>
  </si>
  <si>
    <t xml:space="preserve">reduction 10% absolute for PFC emission, compared to 1995 by 2010 as agreed to by the WSC</t>
  </si>
  <si>
    <t xml:space="preserve">maintain 10% absolute reduction from 1995 baseline</t>
  </si>
  <si>
    <t xml:space="preserve">Original data (kWh/cm2)</t>
  </si>
  <si>
    <t xml:space="preserve">Original data (Liters/cm2)</t>
  </si>
  <si>
    <t xml:space="preserve">Overall fab equipment (kWh/cm2)</t>
  </si>
  <si>
    <t xml:space="preserve">Fab facility (kWh/cm2)</t>
  </si>
  <si>
    <t xml:space="preserve">Total energy consumption (kWh/cm2)</t>
  </si>
  <si>
    <t xml:space="preserve">Net feed water use (Liters/cm2)</t>
  </si>
  <si>
    <t xml:space="preserve">Fab UPW use (Liters/cm2)</t>
  </si>
  <si>
    <t xml:space="preserve">Tool UPW use (Liters/cm2, per wafer pass)</t>
  </si>
  <si>
    <t xml:space="preserve">ITRS report (ORIGINAL data)</t>
  </si>
  <si>
    <t xml:space="preserve">Total fab water consumption (200mm fabs)</t>
  </si>
  <si>
    <t xml:space="preserve">Total fab water consumption (300mm fabs)</t>
  </si>
  <si>
    <t xml:space="preserve">Total UPW consumption</t>
  </si>
  <si>
    <t xml:space="preserve">Tool UPW usage (% of 2005 baseline)</t>
  </si>
  <si>
    <t xml:space="preserve">https://www.eenewseurope.com/news/top-five-chip-makers-dominate-global-wafer-capacity#:~:text=Intel%20(884K%20wafers%2Fmonth),of%20the%20world%27s%20total%20capacity.</t>
  </si>
  <si>
    <t xml:space="preserve">https://www.semi.org/en/products-services/market-data/materials/si-shipment-statistics </t>
  </si>
  <si>
    <t xml:space="preserve">(SEMI) The database includes front-end fabs and foundries such as TSMC, UMC, GLOBALFOUNDRIES, SMIC, Samsung, Intel, Toshiba, Micron, SK Hynix, Powerchip, Texas Instruments, Renesas, STMicro, Fujitsu, Sharp, NXP, Infineon, and many more. Shipments are for semiconductor applications only and do not include solar applications.</t>
  </si>
  <si>
    <t xml:space="preserve">Note:</t>
  </si>
  <si>
    <t xml:space="preserve">Data total production in billion of cm2 1993-1998 available in Eric Williams (2002) Supporting information, Table D.1.</t>
  </si>
  <si>
    <t xml:space="preserve">Million of inch2</t>
  </si>
  <si>
    <t xml:space="preserve">Q1</t>
  </si>
  <si>
    <t xml:space="preserve">Q2</t>
  </si>
  <si>
    <t xml:space="preserve">Q3</t>
  </si>
  <si>
    <t xml:space="preserve">Q4</t>
  </si>
  <si>
    <t xml:space="preserve">Million of cm2</t>
  </si>
  <si>
    <t xml:space="preserve">Total (for 1 year)</t>
  </si>
  <si>
    <t xml:space="preserve">https://namu.wiki/w/Apple%20Silicon/A%20%EC%8B%9C%EB%A6%AC%EC%A6%88?from=Apple%20A6#Apple%20A6</t>
  </si>
  <si>
    <t xml:space="preserve">https://en.wikipedia.org/wiki/Apple_silicon#Apple_A4</t>
  </si>
  <si>
    <t xml:space="preserve">Name</t>
  </si>
  <si>
    <t xml:space="preserve">freq (MHz)</t>
  </si>
  <si>
    <t xml:space="preserve">Node (nm)</t>
  </si>
  <si>
    <t xml:space="preserve">Total Die(mm²)</t>
  </si>
  <si>
    <t xml:space="preserve">transistors (B)</t>
  </si>
  <si>
    <t xml:space="preserve">Trans. density (M/mm²)</t>
  </si>
  <si>
    <t xml:space="preserve">Manufacturer</t>
  </si>
  <si>
    <t xml:space="preserve">A4</t>
  </si>
  <si>
    <t xml:space="preserve">800-1000</t>
  </si>
  <si>
    <t xml:space="preserve">Planar</t>
  </si>
  <si>
    <t xml:space="preserve">Samsung</t>
  </si>
  <si>
    <t xml:space="preserve">A5</t>
  </si>
  <si>
    <t xml:space="preserve">A5X</t>
  </si>
  <si>
    <t xml:space="preserve">A6</t>
  </si>
  <si>
    <t xml:space="preserve">A6X</t>
  </si>
  <si>
    <t xml:space="preserve">A7</t>
  </si>
  <si>
    <t xml:space="preserve">A8</t>
  </si>
  <si>
    <t xml:space="preserve">SoC</t>
  </si>
  <si>
    <t xml:space="preserve">A8X</t>
  </si>
  <si>
    <t xml:space="preserve">A9</t>
  </si>
  <si>
    <t xml:space="preserve">FinFET</t>
  </si>
  <si>
    <t xml:space="preserve">A9X</t>
  </si>
  <si>
    <t xml:space="preserve">Lau2019</t>
  </si>
  <si>
    <t xml:space="preserve">A10 Fusion</t>
  </si>
  <si>
    <t xml:space="preserve">A10X Fusion</t>
  </si>
  <si>
    <t xml:space="preserve">A11 Bionic</t>
  </si>
  <si>
    <t xml:space="preserve">A12 Bionic</t>
  </si>
  <si>
    <t xml:space="preserve">FinFET (ArFi)</t>
  </si>
  <si>
    <t xml:space="preserve">A12X Bionic</t>
  </si>
  <si>
    <t xml:space="preserve">A12Z Bionic</t>
  </si>
  <si>
    <t xml:space="preserve">A13 Bionic</t>
  </si>
  <si>
    <t xml:space="preserve">A14 Bionic</t>
  </si>
  <si>
    <t xml:space="preserve">FinFET (EUV)</t>
  </si>
  <si>
    <t xml:space="preserve">A15</t>
  </si>
  <si>
    <t xml:space="preserve">FinFET P (EUV)</t>
  </si>
  <si>
    <t xml:space="preserve">The literature review was based on:</t>
  </si>
  <si>
    <t xml:space="preserve">Authors previous knownledge and expertise</t>
  </si>
  <si>
    <t xml:space="preserve">Systematic search using the following keywords : semiconductor life cycle footprint assessment environmental impacts production integrated circuits logic memory electronics CMOS manufacturing</t>
  </si>
  <si>
    <t xml:space="preserve">Identification of new intereting papers using the references of known papers</t>
  </si>
  <si>
    <t xml:space="preserve">Included in this study</t>
  </si>
  <si>
    <t xml:space="preserve">Title</t>
  </si>
  <si>
    <t xml:space="preserve">Publication date</t>
  </si>
  <si>
    <t xml:space="preserve">Yes</t>
  </si>
  <si>
    <t xml:space="preserve">Donald Kline; Nikolas Parshook; Alex Johnson; James E. Stine; William Stanchina; Erik Brunvand; Alex K. Jones</t>
  </si>
  <si>
    <t xml:space="preserve">Integrative approaches to environmental life cycle assessment of consumer electronics and connected media</t>
  </si>
  <si>
    <t xml:space="preserve">Paul Teehan</t>
  </si>
  <si>
    <t xml:space="preserve">http://hdl.handle.net/2429/47025</t>
  </si>
  <si>
    <t xml:space="preserve">M. Garcia Bardon; P. Wuytens; L.-Å. Ragnarsson; G. Mirabelli; D. Jang; G. Willems; A. Mallik; A. Spessot; J. Ryckaert; B. Parvais</t>
  </si>
  <si>
    <t xml:space="preserve">https://doi.org/10.1109/IEDM13553.2020.9372004</t>
  </si>
  <si>
    <t xml:space="preserve">Anders S. G. Andrae and Mikko Samuli Vaija</t>
  </si>
  <si>
    <t xml:space="preserve">https://doi.org/10.3390/challe8020021</t>
  </si>
  <si>
    <t xml:space="preserve">Mario Schmidt, Heidi Hottenroth, Martin Schottler, Gabriele Fetzer &amp; Birgit Schlüter </t>
  </si>
  <si>
    <t xml:space="preserve">https://doi.org/10.1007/s11367-011-0351-1 </t>
  </si>
  <si>
    <t xml:space="preserve">Life-cycle assessment of semiconductors</t>
  </si>
  <si>
    <t xml:space="preserve">Boyd, S. B.</t>
  </si>
  <si>
    <t xml:space="preserve">https://doi.org/10.1007/978-1-4419-9988-7</t>
  </si>
  <si>
    <t xml:space="preserve">Yanzhi Wang, Ying Zhang, Mansour Rahimi, and Massoud Pedram</t>
  </si>
  <si>
    <t xml:space="preserve">NOT published</t>
  </si>
  <si>
    <t xml:space="preserve">David Bol; Julien De Vos; Cédric Hocquet; François Botman; François Durvaux; Sarah Boyd</t>
  </si>
  <si>
    <t xml:space="preserve">https://doi.org/10.1109/ISSCC.2012.6177104</t>
  </si>
  <si>
    <t xml:space="preserve">Data for GWP is taken in the 2013 paper, but energy is taken from this paper as it was not available anymore in the 2013 paper. </t>
  </si>
  <si>
    <t xml:space="preserve">The global energy footprint of information and communication technology electronics in connected Internet-of-Things devices</t>
  </si>
  <si>
    <t xml:space="preserve">Sujit Das, Elizabeth Mao</t>
  </si>
  <si>
    <t xml:space="preserve">Use of GaBi --&gt; cfr p.6 left column + other highlighted text : mainly comparison between GaBi and some literature (Boyd, Bol, ...)</t>
  </si>
  <si>
    <t xml:space="preserve">Anders S.G. Andrae</t>
  </si>
  <si>
    <t xml:space="preserve">see Table 2</t>
  </si>
  <si>
    <t xml:space="preserve">Marina Proske, Christian Clemm, Nikolai Richter</t>
  </si>
  <si>
    <t xml:space="preserve">https://www.fairphone.com/wp-content/uploads/2016/11/Fairphone_2_LCA_Final_20161122.pdf </t>
  </si>
  <si>
    <t xml:space="preserve">Marina Proske, David Sánchez, Christian Clemm, Sarah-Jane Baur</t>
  </si>
  <si>
    <t xml:space="preserve">Mine Ercan, Jens Malmodin, Pernilla Bergmark, Emma Kimfalk, Ellinor Nilsson</t>
  </si>
  <si>
    <t xml:space="preserve">https://dx.doi.org/10.2991/ict4s-16.2016.15</t>
  </si>
  <si>
    <t xml:space="preserve">Green SoCs for a sustainable Internet-of-Things</t>
  </si>
  <si>
    <t xml:space="preserve">David Bol; Julien De Vos; François Botman; Guerric de Streel et al.</t>
  </si>
  <si>
    <t xml:space="preserve">Alex K. Jones; Yiran Chen; William O. Collinge et al.</t>
  </si>
  <si>
    <t xml:space="preserve">https://doi.org/10.1109/ICCAD.2013.6691120</t>
  </si>
  <si>
    <t xml:space="preserve">Schaffung einer Datenbasis zur Ermittlung ökologischer Wirkungen der Produkte der Informations- und Kommunikationstechnik (IKT)</t>
  </si>
  <si>
    <t xml:space="preserve">Siddharth Prakash, Ran Liu, Karsten Schischke, Dr. Lutz Stobbe</t>
  </si>
  <si>
    <t xml:space="preserve">Application-aware LCA of semiconductors: Life-cycle energy of microprocessors from high-performance 32nm CPU to ultra-low-power 130nm MCU</t>
  </si>
  <si>
    <t xml:space="preserve">David Bol; Sarah Boyd; David Dornfeld</t>
  </si>
  <si>
    <t xml:space="preserve">No</t>
  </si>
  <si>
    <t xml:space="preserve">Life-Cycle Assessment of Dynamic Random Access Memory</t>
  </si>
  <si>
    <t xml:space="preserve">S.B. Boyd</t>
  </si>
  <si>
    <t xml:space="preserve">https://doi.org/10.1007/978-1-4419-9988-7_7</t>
  </si>
  <si>
    <t xml:space="preserve">We rather consider Boyd 2012 which gathers her whole work</t>
  </si>
  <si>
    <t xml:space="preserve">Life cycle assessment of integrated circuit packaging technologies</t>
  </si>
  <si>
    <t xml:space="preserve">Anders S. G. Andrae , Otto Andersen </t>
  </si>
  <si>
    <t xml:space="preserve">https://doi.org/10.1007/s11367-011-0260-3</t>
  </si>
  <si>
    <t xml:space="preserve">Focus on packaging and back-end only (they mention 0.34 kWh/cm2), so difficult to consider in this study</t>
  </si>
  <si>
    <t xml:space="preserve">Resource Efficiency in the ICT Sector, Final Report, November 2016</t>
  </si>
  <si>
    <t xml:space="preserve">Andreas Manhart; Markus Blepp; Corinna Fischer; Kathrin Graulich; Siddharth Prakash; Rasmus Priess; Tobias Schleicher; Maria Tür</t>
  </si>
  <si>
    <t xml:space="preserve">https://www.greenpeace.de/sites/default/files/publications/20161109_oeko_resource_efficency_final_full-report.pdf</t>
  </si>
  <si>
    <t xml:space="preserve">Not pertinent</t>
  </si>
  <si>
    <t xml:space="preserve">Drawing a chip environmental profile: environmental indicators for the semiconductor industry</t>
  </si>
  <si>
    <t xml:space="preserve">Aurélie Villard, Alan Lelah, Daniel Brissaud</t>
  </si>
  <si>
    <t xml:space="preserve">https://doi.org/10.1016/j.jclepro.2014.08.061</t>
  </si>
  <si>
    <t xml:space="preserve">No quantitative value for the metrics under study</t>
  </si>
  <si>
    <t xml:space="preserve">An eco-design tool for manufacturers of semi-conductor technologies: looking for environmental opportunities in the design phase</t>
  </si>
  <si>
    <t xml:space="preserve">Aurélie Villard, Alan Lelah, Daniel Brissaud, Marc Mantelli</t>
  </si>
  <si>
    <t xml:space="preserve">https://doi.org/10.1109/ISSST.2012.6228013</t>
  </si>
  <si>
    <t xml:space="preserve">Green nanofabrication opportunities in the semiconductor industry: A life cycle perspective</t>
  </si>
  <si>
    <t xml:space="preserve">Eleanor Mullen and Michael A. Morris</t>
  </si>
  <si>
    <t xml:space="preserve">https://doi.org/10.3390/nano11051085</t>
  </si>
  <si>
    <t xml:space="preserve">Life cycle impact assessment of semiconductor packaging technologies with emphasis on ball grid array</t>
  </si>
  <si>
    <t xml:space="preserve">Chien-HungKuoaAllen H.HuaLance HongweiHungaKuei-TzuYangbChen-HuaWuc</t>
  </si>
  <si>
    <t xml:space="preserve">https://doi.org/10.1016/j.jclepro.2020.124301</t>
  </si>
  <si>
    <t xml:space="preserve">Developing a parametric carbon footprinting tool for the semiconductor industry</t>
  </si>
  <si>
    <t xml:space="preserve">C.-Y. Huang, A. H. Hu, J. Yin &amp; H.-C. Wang </t>
  </si>
  <si>
    <t xml:space="preserve">https://doi.org/10.1007/s13762-015-0869-z </t>
  </si>
  <si>
    <t xml:space="preserve">No quantitative value for the metrics under study: the data were not disclosed because of confidentiality issues.</t>
  </si>
  <si>
    <t xml:space="preserve">Sources of variation in life cycle assessments of smartphones and tablet computers</t>
  </si>
  <si>
    <t xml:space="preserve">Louis-Philippe P.-V.P. Clément, Quentin E.S. Jacquemotte, Lorenz M. Hilty</t>
  </si>
  <si>
    <t xml:space="preserve">No new data, fully based on other studies already taken into account in this study. More details in the sheet "Clement data".</t>
  </si>
  <si>
    <t xml:space="preserve">Life cycle assessment of DRAM in Taiwan's semiconductor industry</t>
  </si>
  <si>
    <t xml:space="preserve">C.H.Liu, Sue J.Lin, C.Lewis</t>
  </si>
  <si>
    <t xml:space="preserve">https://doi.org/10.1016/j.jclepro.2009.10.004</t>
  </si>
  <si>
    <t xml:space="preserve">Environmental Life Cycle Assessment of a Carbon Nanotube-Enabled Semiconductor Device</t>
  </si>
  <si>
    <t xml:space="preserve">Lindsay J. Dahlben, Matthew J. Eckelman, Ali Hakimian, Sivasubramanian Somu, and Jacqueline A. Isaacs</t>
  </si>
  <si>
    <t xml:space="preserve">https://doi.org/10.1021/es305325y</t>
  </si>
  <si>
    <t xml:space="preserve">Performance Assessment of the Semiconductor Industry: Measured by DEA Environmental Assessment</t>
  </si>
  <si>
    <t xml:space="preserve">Toshiyuki Sueyoshi andYoungbok Ryu</t>
  </si>
  <si>
    <t xml:space="preserve">https://doi.org/10.3390/en13225998</t>
  </si>
  <si>
    <t xml:space="preserve">Performing a water footprint assessment for a semiconductor industry</t>
  </si>
  <si>
    <t xml:space="preserve">Tom Cooper; Joyann Pafumi</t>
  </si>
  <si>
    <t xml:space="preserve">https://doi.org/10.1109/ISSST.2010.5507719</t>
  </si>
  <si>
    <t xml:space="preserve">Life-cycle assessment of computational logic produced from 1995 through 2010</t>
  </si>
  <si>
    <t xml:space="preserve">S B Boyd, A Horvath and D A Dornfeld</t>
  </si>
  <si>
    <t xml:space="preserve">https://doi.org/10.1088/1748-9326/5/1/014011</t>
  </si>
  <si>
    <t xml:space="preserve">Comparing embodied greenhouse gas emissions of modern computing and electronics products</t>
  </si>
  <si>
    <t xml:space="preserve">P. Teehan and M. Kandlikar</t>
  </si>
  <si>
    <t xml:space="preserve">https://doi.org/10.1021/es303012r</t>
  </si>
  <si>
    <t xml:space="preserve">Reducing the carbon footprint of ICT products through material efficiency strategies - case on smartphones</t>
  </si>
  <si>
    <t xml:space="preserve">Mauro Cordella,Felice Alfieri,Javier Sanfelix</t>
  </si>
  <si>
    <t xml:space="preserve">https://doi.org/10.1111/jiec.13119</t>
  </si>
  <si>
    <t xml:space="preserve">Caractérisation des process de fabrication microélectroniques pour l'éco-conception des futures technologies	</t>
  </si>
  <si>
    <t xml:space="preserve">Ingwild Baudry</t>
  </si>
  <si>
    <t xml:space="preserve">https://tel.archives-ouvertes.fr/tel-00957329</t>
  </si>
  <si>
    <t xml:space="preserve">See p.63 --&gt; 100% based on Williams data which is already covered in this study.</t>
  </si>
  <si>
    <t xml:space="preserve">Streamlined life cycle assessment: A case study on tablets and integrated circuits	</t>
  </si>
  <si>
    <t xml:space="preserve">Maria L. Alcaraz, Arash Noshadravan, Melissa Zgol, Randolph E.Kirchain , Elsa A.Olivetti</t>
  </si>
  <si>
    <t xml:space="preserve">https://doi.org/10.1016/j.jclepro.2018.07.273 </t>
  </si>
  <si>
    <t xml:space="preserve">Chasing Carbon: The Elusive Environmental Footprint of Computing</t>
  </si>
  <si>
    <t xml:space="preserve">GUPTA, Udit, KIM, Young Geun, LEE, Sylvia, et al. </t>
  </si>
  <si>
    <t xml:space="preserve">https://doi.org/10.1109/HPCA51647.2021.00076</t>
  </si>
  <si>
    <t xml:space="preserve">No quantitative value for the metrics under study. Note: Fig. 14 could be interesting to compare with our analysis</t>
  </si>
  <si>
    <t xml:space="preserve">The Conundrums of Sustainability: Carbon Emissions and Electricity Consumption in the Electronics and Petrochemical Industries in Taiwan</t>
  </si>
  <si>
    <t xml:space="preserve">Kuei-tien Chou ,David Walther and Hwa-meei Liou</t>
  </si>
  <si>
    <t xml:space="preserve">https://doi.org/10.3390/su11205664 </t>
  </si>
  <si>
    <t xml:space="preserve">Life cycle assessments of consumer electronics: are they consistent?</t>
  </si>
  <si>
    <t xml:space="preserve">Anders S. G. Andrae &amp; Otto Andersen </t>
  </si>
  <si>
    <t xml:space="preserve">https://doi.org/10.1007/s11367-010-0206-1</t>
  </si>
  <si>
    <t xml:space="preserve">No sufficient information --&gt; not included in this study. More details in the sheet "Andrae data".</t>
  </si>
  <si>
    <t xml:space="preserve">QUANTIFYING ENVIRONMENTAL LIFE CYCLE IMPACTS FOR ICT PRODUCTS – A SIMPLER APPROACH </t>
  </si>
  <si>
    <t xml:space="preserve">Thomas A. Okrasinski; Marc S. Benowitz</t>
  </si>
  <si>
    <t xml:space="preserve">https://doi.org/10.23919/PanPacific48324.2020.9059483 </t>
  </si>
  <si>
    <t xml:space="preserve">Measuring the environmental impact of IT/IS solutions e A life cycle impact modelling approach</t>
  </si>
  <si>
    <t xml:space="preserve">Florian Stiel, Frank Teuteberg</t>
  </si>
  <si>
    <t xml:space="preserve">https://doi.org/10.1016/j.envsoft.2013.12.014 </t>
  </si>
  <si>
    <t xml:space="preserve">Evaluating the sustainability of electronic media: Strategies for life cycle inventory data collection and their implications for LCA results</t>
  </si>
  <si>
    <t xml:space="preserve">Roland Hischier, Mohammad Ahmadi Achachlouei, Lorenz M. Hilty</t>
  </si>
  <si>
    <t xml:space="preserve">https://doi.org/10.1016/j.envsoft.2014.01.001 </t>
  </si>
  <si>
    <t xml:space="preserve">No quantitative value for the metrics under study, mainly based on ecoinvent database</t>
  </si>
  <si>
    <t xml:space="preserve">Challenges and complexities in application of LCA approaches in the case of ICT for a sustainable future</t>
  </si>
  <si>
    <t xml:space="preserve">Reza Farrahi Moghaddam, Fereydoun Farrahi Moghaddam, Thomas Dandres, Yves Lemieux, Réjean Samson, Mohamed Cheriet</t>
  </si>
  <si>
    <t xml:space="preserve">https://arxiv.org/abs/1403.2798  </t>
  </si>
  <si>
    <t xml:space="preserve">Lessons learned – Review of LCAs for ICT products and services</t>
  </si>
  <si>
    <t xml:space="preserve">Yevgeniya Arushanyan, Elisabeth Ekener-Petersen , Göran Finnveden</t>
  </si>
  <si>
    <t xml:space="preserve">https://doi.org/10.1016/j.compind.2013.10.003</t>
  </si>
  <si>
    <t xml:space="preserve">Environmental Impacts of ICT: Present and Future</t>
  </si>
  <si>
    <t xml:space="preserve">Arushanyan, Yevgeniya</t>
  </si>
  <si>
    <t xml:space="preserve">https://www.diva-portal.org/smash/record.jsf?pid=diva2%3A933594&amp;dswid=-2635</t>
  </si>
  <si>
    <t xml:space="preserve">Grey Energy and Environmental Impacts of ICT Hardware</t>
  </si>
  <si>
    <t xml:space="preserve">Roland Hischier, Vlad C. Coroama, Daniel Schien, Mohammad Ahmadi Achachlouei</t>
  </si>
  <si>
    <t xml:space="preserve">https://doi.org/10.1007/978-3-319-09228-7_10</t>
  </si>
  <si>
    <t xml:space="preserve">Life Cycle Assessment of a Magazine, Part I: Tablet Edition in Emerging and Mature States</t>
  </si>
  <si>
    <t xml:space="preserve">Mohammad Ahmadi Achachlouei, Åsa Moberg,Elisabeth Hochschorner</t>
  </si>
  <si>
    <t xml:space="preserve">https://doi.org/10.1111/jiec.12227</t>
  </si>
  <si>
    <t xml:space="preserve">Consumption-Weighted Life Cycle Assessment of a Consumer Electronic Product Community</t>
  </si>
  <si>
    <t xml:space="preserve">Erinn G. Ryen, Callie W. Babbitt, and Eric Williams</t>
  </si>
  <si>
    <t xml:space="preserve">https://doi.org/10.1021/es505121p </t>
  </si>
  <si>
    <t xml:space="preserve">The link between product service lifetime and GHG emissions: A comparative study for different consumer products</t>
  </si>
  <si>
    <t xml:space="preserve">Simon Glöser-Chahoud,Matthias Pfaff,Frank Schultmann</t>
  </si>
  <si>
    <t xml:space="preserve">https://doi.org/10.1111/jiec.13123</t>
  </si>
  <si>
    <t xml:space="preserve">A Fuzzy Multicriteria Approach for Evaluating the Sustainability Performance of Semiconductor Companies</t>
  </si>
  <si>
    <t xml:space="preserve">Santoso Wibowo; Hepu Deng</t>
  </si>
  <si>
    <t xml:space="preserve">https://doi.org/10.1109/ICIEA.2013.6566380</t>
  </si>
  <si>
    <t xml:space="preserve">Methodology study eco-design of energy-using products – MEEuP methodology report</t>
  </si>
  <si>
    <t xml:space="preserve">R. Kemna, M. van Elburg, W. Li, and R. van Holsteijn</t>
  </si>
  <si>
    <t xml:space="preserve">https://op.europa.eu/s/vUnz</t>
  </si>
  <si>
    <t xml:space="preserve">Environmental effects of information and communications technologies</t>
  </si>
  <si>
    <t xml:space="preserve">Eric Williams</t>
  </si>
  <si>
    <t xml:space="preserve">https://doi.org/10.1038/nature10682</t>
  </si>
  <si>
    <t xml:space="preserve">Life-Cycle Assessment of NAND Flash Memory</t>
  </si>
  <si>
    <t xml:space="preserve">https://doi.org/10.1109/TSM.2010.2087395 </t>
  </si>
  <si>
    <t xml:space="preserve">Life-cycle assessment of electric power systems</t>
  </si>
  <si>
    <t xml:space="preserve">Eric Masanet,1 Yuan Chang,1 Anand R. Gopal,2 Peter Larsen,2,3 William R. Morrow III,2 Roger Sathre,2 Arman Shehabi,2 and Pei Zhai2</t>
  </si>
  <si>
    <t xml:space="preserve">https://doi.org/10.1146/annurev-environ-010710-100408</t>
  </si>
  <si>
    <t xml:space="preserve">Internet of Things and BOM-Based Life Cycle Assessment of Energy-Saving and Emission-Reduction of Products</t>
  </si>
  <si>
    <t xml:space="preserve">Fei Tao, Member, IEEE, Ying Zuo, Li Da Xu, Senior Member, IEEE, Lin Lv, and Lin Zhang, Senior Member, IEEE</t>
  </si>
  <si>
    <t xml:space="preserve">https://doi.org/10.1109/TII.2014.2306771</t>
  </si>
  <si>
    <t xml:space="preserve">Sources of Variation in Life Cycle Assessments of Desktop Computers</t>
  </si>
  <si>
    <t xml:space="preserve">Paul Teehan,Milind Kandlikar</t>
  </si>
  <si>
    <t xml:space="preserve">https://doi.org/10.1111/j.1530-9290.2011.00431.x</t>
  </si>
  <si>
    <t xml:space="preserve">We rather consider Teehan 2014 which gathers his whole work</t>
  </si>
  <si>
    <t xml:space="preserve">Holistically evaluating the environmental impacts in modern computing systems</t>
  </si>
  <si>
    <t xml:space="preserve">Donald Kline; Nikolas Parshook; Xiaoyu Ge; Erik Brunvand; Rami Melhem; Panos K. Chrysanthis; Alex K. Jones</t>
  </si>
  <si>
    <t xml:space="preserve">https://doi.org/10.1109/IGCC.2016.7892605</t>
  </si>
  <si>
    <t xml:space="preserve">Data seems to be exactly the same in the 2017 paper, but the Figure is more precise so we take that one.</t>
  </si>
  <si>
    <t xml:space="preserve">Computing the carbon footprint supply chain for the semiconductor industry: a learning tool</t>
  </si>
  <si>
    <t xml:space="preserve">Dessouky Y, Patel MH, Kaosamphan T</t>
  </si>
  <si>
    <t xml:space="preserve">https://docplayer.net/8741483-Computing-the-carbon-footprint-supply-chain-for-the-semiconductor-industry-a-learning-tool.html</t>
  </si>
  <si>
    <t xml:space="preserve">No quantitative value for the metrics under study (no details about wafer size and the document is more for a pedagological purpose)</t>
  </si>
  <si>
    <t xml:space="preserve">Developing a Parameterized Embodied Emissions Calculator for telecommunication networks equipment (PEEC)</t>
  </si>
  <si>
    <t xml:space="preserve">Maël Madon</t>
  </si>
  <si>
    <t xml:space="preserve">https://www.diva-portal.org/smash/get/diva2:1540115/FULLTEXT01.pdf</t>
  </si>
  <si>
    <t xml:space="preserve">Not peer-reviewed and it is a master thesis. so we decided not to include it in this study. Yet, quantitative value p.15 (1.72 kgCO2eq/cm2).</t>
  </si>
  <si>
    <t xml:space="preserve">Review of LCA methods for ICT products and the impact of high purity and high cost materials</t>
  </si>
  <si>
    <t xml:space="preserve">Tim Higgs; Michael Cullen; Marissa Yao; Scott Stewart</t>
  </si>
  <si>
    <t xml:space="preserve">https://doi.org/10.1109/ISSST.2010.5507691</t>
  </si>
  <si>
    <t xml:space="preserve">TOTAL included</t>
  </si>
  <si>
    <t xml:space="preserve">Cynthia F. Murphy, George A. Kenig, David T. Allen, Jean-Philippe Laurent, and David E. Dyer</t>
  </si>
  <si>
    <t xml:space="preserve">Table 2 + Fig 13</t>
  </si>
  <si>
    <t xml:space="preserve">Nikhil Krishnan, Sarah Boyd, Ajay Somani, Sebastien Raoul, Daniel Clark, and David Dornfeld</t>
  </si>
  <si>
    <t xml:space="preserve">https://doi.org/10.1021/es071174k</t>
  </si>
  <si>
    <t xml:space="preserve">see Fig 6</t>
  </si>
  <si>
    <t xml:space="preserve">Semiconductors and sustainability : energy and materials use in integrated circuit manufacturing</t>
  </si>
  <si>
    <t xml:space="preserve">Branham, Matthew S</t>
  </si>
  <si>
    <t xml:space="preserve">see p.18 + ctfl-F on cm2</t>
  </si>
  <si>
    <t xml:space="preserve">Measures and Trends in Energy Use of Semiconductor Manufacturing</t>
  </si>
  <si>
    <t xml:space="preserve">Liqiu Deng; Eric Williams</t>
  </si>
  <si>
    <t xml:space="preserve">see Fig 4</t>
  </si>
  <si>
    <t xml:space="preserve">Environmental Implications of Product Servicising. The Case of Outsourced Computing Utilities.</t>
  </si>
  <si>
    <t xml:space="preserve">Plepys, Andrius</t>
  </si>
  <si>
    <t xml:space="preserve">Liqiu Deng, Callie W.Babbitt, Eric D.Williams</t>
  </si>
  <si>
    <t xml:space="preserve">The 1.7 Kilogram Microchip:  Energy and Material Use in the Production of Semiconductor Devices</t>
  </si>
  <si>
    <t xml:space="preserve">Eric D. Williams, Robert U. Ayres, and Miriam Heller</t>
  </si>
  <si>
    <t xml:space="preserve">S.-C.Hu, Y.K.Chuah</t>
  </si>
  <si>
    <t xml:space="preserve">Comparative Assessment of Life Cycle Assessment Methods Used for Personal Computers</t>
  </si>
  <si>
    <t xml:space="preserve">Marissa A. Yao, Tim G. Higgs, Michael J. Cullen, Scott Stewart, and Todd A. Brady</t>
  </si>
  <si>
    <t xml:space="preserve">Values in kWh/cm2 in Fig 1. Values for 2001-2008 --&gt; historical data</t>
  </si>
  <si>
    <t xml:space="preserve">Computers and the environment: understanding and managing their impact</t>
  </si>
  <si>
    <t xml:space="preserve">R. Kuehr, E. Williams</t>
  </si>
  <si>
    <t xml:space="preserve">https://link.springer.com/book/10.1007/978-94-010-0033-8</t>
  </si>
  <si>
    <t xml:space="preserve">Not possible to have access to the document</t>
  </si>
  <si>
    <t xml:space="preserve">LCA of electronic products</t>
  </si>
  <si>
    <t xml:space="preserve">Anders S. G. Andrae, Gang Zou &amp; Johan Liu</t>
  </si>
  <si>
    <t xml:space="preserve">https://doi.org/10.1007/BF02978535</t>
  </si>
  <si>
    <t xml:space="preserve">Environmental sustainability in the semiconductor industry</t>
  </si>
  <si>
    <t xml:space="preserve">John Harland; Ted Reichelt; Marissa Yao</t>
  </si>
  <si>
    <t xml:space="preserve">https://doi.org/10.1109/ISEE.2008.4562886</t>
  </si>
  <si>
    <t xml:space="preserve">Energy Intensity of Computer Manufacturing: Hybrid Assessment Combining Process and Economic Input-Output Methods</t>
  </si>
  <si>
    <t xml:space="preserve">https://doi.org/10.1021/es035152j</t>
  </si>
  <si>
    <t xml:space="preserve">see Table 1 --&gt; really similar to Deng 2011, we rather include these data</t>
  </si>
  <si>
    <t xml:space="preserve">Measuring and modeling gas consumption and emissions from semiconductor manufacturing processes, EHS Assessment Techniques</t>
  </si>
  <si>
    <t xml:space="preserve">R. Smati, S. Raoux, D. Ho, and M. Woolston</t>
  </si>
  <si>
    <t xml:space="preserve">-</t>
  </si>
  <si>
    <t xml:space="preserve">Impossible to find the document</t>
  </si>
  <si>
    <t xml:space="preserve">Recent developments in Life Cycle Assessment</t>
  </si>
  <si>
    <t xml:space="preserve">GöranFinnvedenaMichael Z.HauschildbTomasEkvallcJeroenGuinéedReinoutHeijungsdStefanieHellwegeAnnetteKoehlereDavidPenningtonfSangwonSuh</t>
  </si>
  <si>
    <t xml:space="preserve">https://doi.org/10.1016/j.jenvman.2009.06.018</t>
  </si>
  <si>
    <t xml:space="preserve">Using a hybrid approach to evaluate semiconductor life cycle environmental issues - a case study in interconnect module impacts</t>
  </si>
  <si>
    <t xml:space="preserve">N. Krishnan; S. Boyd; J. Rosales; D. Dornfeld; S. Raoux; R. Smati</t>
  </si>
  <si>
    <t xml:space="preserve">https://doi.org/10.1109/ISEE.2004.1299693</t>
  </si>
  <si>
    <t xml:space="preserve">Presents a methodology to perform hybrid LCA, but too few steps are considered. Few infos in section IV but not sufficient</t>
  </si>
  <si>
    <t xml:space="preserve">Case studies in energy use to realize ultra-high purities in semiconductor manufacturing</t>
  </si>
  <si>
    <t xml:space="preserve">Nikhil Krishnan; Eric D. Williams; Sarah B. Boyd</t>
  </si>
  <si>
    <t xml:space="preserve">Environmental impacts in the production of computers</t>
  </si>
  <si>
    <t xml:space="preserve">https://doi.org/10.1007/978-94-010-0033-8_3</t>
  </si>
  <si>
    <t xml:space="preserve">Only access to the 2 first pages, no data could be retrieved</t>
  </si>
  <si>
    <t xml:space="preserve">Revisiting energy used to manufacture a desktop computer: hybrid analysis combining process and economic input-output methods</t>
  </si>
  <si>
    <t xml:space="preserve">https://doi.org/10.1109/ISEE.2004.1299692</t>
  </si>
  <si>
    <t xml:space="preserve">data already captured in Deng and Williams papers</t>
  </si>
  <si>
    <t xml:space="preserve">Deconstructing Energy Use in Microelectronics Manufacturing: An Experimental Case Study of a MEMS Fabrication Facility</t>
  </si>
  <si>
    <t xml:space="preserve">Matthew S. Branham, Timothy G. Gutowski</t>
  </si>
  <si>
    <t xml:space="preserve">https://doi.org/10.1021/es902388b</t>
  </si>
  <si>
    <t xml:space="preserve">Data for 2006-2007. Data already disclosed in its previous 2008 publication (already included in this study)</t>
  </si>
  <si>
    <t xml:space="preserve">A tool to estimate materials and manufacturing energy for a product</t>
  </si>
  <si>
    <t xml:space="preserve">N. Duque Ciceri; T. G. Gutowski; M. Garetti</t>
  </si>
  <si>
    <t xml:space="preserve">https://doi.org/10.1109/ISSST.2010.5507677</t>
  </si>
  <si>
    <t xml:space="preserve">Data before 2010 explicitely.  More details in the sheet "Ciceri data", but not considered in this study</t>
  </si>
  <si>
    <t xml:space="preserve">Environmental impacts of microchip manufacture</t>
  </si>
  <si>
    <t xml:space="preserve">Eric D Williams</t>
  </si>
  <si>
    <t xml:space="preserve">https://doi.org/10.1016/j.tsf.2004.02.049</t>
  </si>
  <si>
    <t xml:space="preserve">Data already covered its previous publication (2002) for energy and water.
See the sheet "Williams data" for more information.</t>
  </si>
  <si>
    <t xml:space="preserve">Life Cycle Inventory of a CMOS Chip</t>
  </si>
  <si>
    <t xml:space="preserve">https://doi.org/10.1109/ISEE.2006.1650071  </t>
  </si>
  <si>
    <t xml:space="preserve">Life-Cycle Energy Demand and GWP of Computational Logic</t>
  </si>
  <si>
    <t xml:space="preserve">https://pubs.acs.org/doi/10.1021/es901514n </t>
  </si>
  <si>
    <t xml:space="preserve">Is Small Green?</t>
  </si>
  <si>
    <t xml:space="preserve">Karsten Schischke, Hansjoerg Griese</t>
  </si>
  <si>
    <t xml:space="preserve">http://www.lcacenter.org/InLCA2004/papers/Schischke_K_paper.pdf</t>
  </si>
  <si>
    <t xml:space="preserve">Life cycle inventory analysis and identification of environmentally significant aspects in semiconductor manufacturing </t>
  </si>
  <si>
    <t xml:space="preserve">Schischke, K., Stutz, M., Ruelle, J.P., Griese, H., Reichi, H., </t>
  </si>
  <si>
    <t xml:space="preserve">https://doi.org/10.1109/ISEE.2001.924517</t>
  </si>
  <si>
    <t xml:space="preserve">Implementing life cycle assessment in product development</t>
  </si>
  <si>
    <t xml:space="preserve">G.S. Bhander, M. Hauschild, T. McAloone,</t>
  </si>
  <si>
    <t xml:space="preserve">https://doi.org/10.1002/ep.670220414</t>
  </si>
  <si>
    <t xml:space="preserve">Sustainable development of microelectronic technology processes integration of ecodesign</t>
  </si>
  <si>
    <t xml:space="preserve">H. Griese, K. Schischke, H. Reichl, L. Stobbe, L,</t>
  </si>
  <si>
    <t xml:space="preserve">https://doi.org/10.1109/HPD.2004.1346690</t>
  </si>
  <si>
    <t xml:space="preserve">Quantifying the Environmental Footprint of Semiconductor Equipment Using the Environmental Value Systems Analysis (EnV-S)</t>
  </si>
  <si>
    <t xml:space="preserve">Krishnan, N., Raoux, S., Dornfeld, D.,</t>
  </si>
  <si>
    <t xml:space="preserve">https://doi.org/10.1109/TSM.2004.835705</t>
  </si>
  <si>
    <t xml:space="preserve">New generation of Predictive Technology Model for sub-45nm early design exploration</t>
  </si>
  <si>
    <t xml:space="preserve">W. Zhao and Y. Cao</t>
  </si>
  <si>
    <t xml:space="preserve">https://doi.org/10.1109/TED.2006.884077</t>
  </si>
  <si>
    <t xml:space="preserve">The use and evaluation of yield models in integrated circuit manufacturing</t>
  </si>
  <si>
    <t xml:space="preserve">J. A. Cunningham</t>
  </si>
  <si>
    <t xml:space="preserve">https://doi.org/10.1109/66.53188</t>
  </si>
  <si>
    <t xml:space="preserve">Assessing ICT's environmental impact</t>
  </si>
  <si>
    <t xml:space="preserve">A. Shah, T. Christian, C. Patel, C. Bash, and R. Sharma, "</t>
  </si>
  <si>
    <t xml:space="preserve">https://doi.ieeecomputersociety.org/10.1109/MC.2009.209</t>
  </si>
  <si>
    <t xml:space="preserve">No access</t>
  </si>
  <si>
    <t xml:space="preserve">Developing an overall CO2 footprint for semiconductor products</t>
  </si>
  <si>
    <t xml:space="preserve">Higgs T, Cullen M, Yao M, Stewart S</t>
  </si>
  <si>
    <t xml:space="preserve">https://doi.org/10.1109/ISSST.2009.5156786</t>
  </si>
  <si>
    <t xml:space="preserve">The environmental impacts of electronics. Going beyond the walls of semiconductor fabs</t>
  </si>
  <si>
    <t xml:space="preserve">Andrius Plepys</t>
  </si>
  <si>
    <t xml:space="preserve">https://doi.org/10.1109/ISEE.2004.1299707</t>
  </si>
  <si>
    <t xml:space="preserve">We rather consider Plepys 2004 which gathers his whole work</t>
  </si>
  <si>
    <t xml:space="preserve">Life cycle inventory development for wafer fabrication in semiconductor manufacturing</t>
  </si>
  <si>
    <t xml:space="preserve">C.F. Murphy; J.-P. Laurent; D.T. Allen</t>
  </si>
  <si>
    <t xml:space="preserve">https://doi.org/10.1109/ISEE.2003.1208089</t>
  </si>
  <si>
    <t xml:space="preserve">TOTAL analyzed</t>
  </si>
  <si>
    <t xml:space="preserve">From Table 2</t>
  </si>
  <si>
    <t xml:space="preserve"> GWP</t>
  </si>
  <si>
    <t xml:space="preserve">ICs, silicon die area</t>
  </si>
  <si>
    <t xml:space="preserve">No sufficient information. Moreover, it is based on mass rather than area and the factor for embodied emissions is derived from Boyd (2009) which is already covered in this study. --&gt; THEREFORE, this is not included in this study</t>
  </si>
  <si>
    <t xml:space="preserve">This is very similar to its previous publication, but we consider both.</t>
  </si>
  <si>
    <t xml:space="preserve">https://doi.org/10.1109/IEDM13553.2020.9372004  </t>
  </si>
  <si>
    <t xml:space="preserve">Data extracted from Figures with https://apps.automeris.io/wpd/ </t>
  </si>
  <si>
    <t xml:space="preserve">GHG Emissions</t>
  </si>
  <si>
    <t xml:space="preserve">Values extracted from the figures</t>
  </si>
  <si>
    <t xml:space="preserve">Technology node</t>
  </si>
  <si>
    <t xml:space="preserve">8 (EUV)</t>
  </si>
  <si>
    <t xml:space="preserve">7 (EUV)</t>
  </si>
  <si>
    <t xml:space="preserve">nm</t>
  </si>
  <si>
    <t xml:space="preserve">GHG emissions from electricity generation, worst case scenario (Fig. 13)</t>
  </si>
  <si>
    <t xml:space="preserve">kgCO2eq/cm^2</t>
  </si>
  <si>
    <t xml:space="preserve">GHG emissions for full process, assuming NF3 abatement factor of (a) 95% (Fig. 15)</t>
  </si>
  <si>
    <t xml:space="preserve">Total GHG emission per node</t>
  </si>
  <si>
    <t xml:space="preserve">Total manufacturing electricity per cm2 for full process flows (Fig. 11) </t>
  </si>
  <si>
    <t xml:space="preserve">kWh/cm2</t>
  </si>
  <si>
    <t xml:space="preserve">Total primary energy per node (conversion)</t>
  </si>
  <si>
    <t xml:space="preserve">Total Ultra Pure Water (UPW) usage in liters per cm2 for full process flows (Fig. 14)</t>
  </si>
  <si>
    <t xml:space="preserve">liter/cm2</t>
  </si>
  <si>
    <t xml:space="preserve">1.025, 0.943</t>
  </si>
  <si>
    <t xml:space="preserve">0.702, 0.746</t>
  </si>
  <si>
    <t xml:space="preserve">2.001, 1.146</t>
  </si>
  <si>
    <t xml:space="preserve">1.681, 0.900</t>
  </si>
  <si>
    <t xml:space="preserve">3.002, 1.134</t>
  </si>
  <si>
    <t xml:space="preserve">2.692, 0.886</t>
  </si>
  <si>
    <t xml:space="preserve">4.004, 1.465</t>
  </si>
  <si>
    <t xml:space="preserve">3.691, 1.157</t>
  </si>
  <si>
    <t xml:space="preserve">4.993, 1.686</t>
  </si>
  <si>
    <t xml:space="preserve">4.692, 1.320</t>
  </si>
  <si>
    <t xml:space="preserve">6.006, 1.639</t>
  </si>
  <si>
    <t xml:space="preserve">5.681, 1.289</t>
  </si>
  <si>
    <t xml:space="preserve">6.983, 2.098</t>
  </si>
  <si>
    <t xml:space="preserve">6.656, 1.646</t>
  </si>
  <si>
    <t xml:space="preserve">8.033, 2.098</t>
  </si>
  <si>
    <t xml:space="preserve">7.667, 1.637</t>
  </si>
  <si>
    <t xml:space="preserve">9.022, 2.767</t>
  </si>
  <si>
    <t xml:space="preserve">8.656, 2.169</t>
  </si>
  <si>
    <t xml:space="preserve">10.036, 2.871</t>
  </si>
  <si>
    <t xml:space="preserve">9.635, 2.254</t>
  </si>
  <si>
    <t xml:space="preserve">11.000, 3.273</t>
  </si>
  <si>
    <t xml:space="preserve">10.635, 2.566</t>
  </si>
  <si>
    <t xml:space="preserve">1.000, 0.177</t>
  </si>
  <si>
    <t xml:space="preserve">2.008, 0.194</t>
  </si>
  <si>
    <t xml:space="preserve">3.036, 0.199</t>
  </si>
  <si>
    <t xml:space="preserve">4.023, 0.246</t>
  </si>
  <si>
    <t xml:space="preserve">5.031, 0.288</t>
  </si>
  <si>
    <t xml:space="preserve">6.019, 0.245</t>
  </si>
  <si>
    <t xml:space="preserve">7.026, 0.396</t>
  </si>
  <si>
    <t xml:space="preserve">8.014, 0.358</t>
  </si>
  <si>
    <t xml:space="preserve">9.002, 0.326</t>
  </si>
  <si>
    <t xml:space="preserve">9.989, 0.425</t>
  </si>
  <si>
    <t xml:space="preserve">10.997, 0.436</t>
  </si>
  <si>
    <t xml:space="preserve">12.005, 0.433</t>
  </si>
  <si>
    <t xml:space="preserve">13.033, 0.474</t>
  </si>
  <si>
    <t xml:space="preserve">14.020, 0.482</t>
  </si>
  <si>
    <t xml:space="preserve">1.036, 5.764</t>
  </si>
  <si>
    <t xml:space="preserve">2.026, 6.364</t>
  </si>
  <si>
    <t xml:space="preserve">3.046, 6.182</t>
  </si>
  <si>
    <t xml:space="preserve">4.007, 7.591</t>
  </si>
  <si>
    <t xml:space="preserve">5.028, 9.222</t>
  </si>
  <si>
    <t xml:space="preserve">6.001, 7.926</t>
  </si>
  <si>
    <t xml:space="preserve">7.010, 11.816</t>
  </si>
  <si>
    <t xml:space="preserve">8.012, 10.045</t>
  </si>
  <si>
    <t xml:space="preserve">9.019, 12.374</t>
  </si>
  <si>
    <t xml:space="preserve">10.009, 12.611</t>
  </si>
  <si>
    <t xml:space="preserve">11.001, 14.410</t>
  </si>
  <si>
    <t xml:space="preserve">cfr Table 4.2</t>
  </si>
  <si>
    <t xml:space="preserve">Data extracted from Figure with https://apps.automeris.io/wpd/ </t>
  </si>
  <si>
    <t xml:space="preserve"> Energy</t>
  </si>
  <si>
    <t xml:space="preserve"> Water</t>
  </si>
  <si>
    <t xml:space="preserve">kgCO2e/cm2
(scope 2 only)</t>
  </si>
  <si>
    <t xml:space="preserve">kgCO2e/cm2
(scope 2 and approx. scope 1)</t>
  </si>
  <si>
    <t xml:space="preserve">Data already disclosed in its previous publications.
THEREFORE, we do not add these data to our study.</t>
  </si>
  <si>
    <t xml:space="preserve">(value used in the paper)</t>
  </si>
  <si>
    <t xml:space="preserve">min (paper)</t>
  </si>
  <si>
    <t xml:space="preserve">max (paper)</t>
  </si>
  <si>
    <t xml:space="preserve">Intel</t>
  </si>
  <si>
    <t xml:space="preserve">MCC</t>
  </si>
  <si>
    <t xml:space="preserve">(disclosed as an outlier, not considered in this study)</t>
  </si>
  <si>
    <t xml:space="preserve">Note: MPD = Micromachined Products Division</t>
  </si>
  <si>
    <t xml:space="preserve">From Table II</t>
  </si>
  <si>
    <t xml:space="preserve">From Figure 28.7.6</t>
  </si>
  <si>
    <t xml:space="preserve">From Figure 5 and Table 1</t>
  </si>
  <si>
    <t xml:space="preserve">GHG Emissions - Energy</t>
  </si>
  <si>
    <t xml:space="preserve">(TI, ISSCC 2011)</t>
  </si>
  <si>
    <t xml:space="preserve">(MIT, JSSC 2009)</t>
  </si>
  <si>
    <t xml:space="preserve">(UCL, JSSC, 2013)</t>
  </si>
  <si>
    <t xml:space="preserve">High-end</t>
  </si>
  <si>
    <t xml:space="preserve">Mainstream</t>
  </si>
  <si>
    <t xml:space="preserve">Set-top boxes</t>
  </si>
  <si>
    <t xml:space="preserve">Smart phones</t>
  </si>
  <si>
    <t xml:space="preserve">Wireless sensors</t>
  </si>
  <si>
    <t xml:space="preserve">GWP for IC production (one item)</t>
  </si>
  <si>
    <t xml:space="preserve">Logic + Flash</t>
  </si>
  <si>
    <t xml:space="preserve">Die area</t>
  </si>
  <si>
    <t xml:space="preserve">mm2</t>
  </si>
  <si>
    <t xml:space="preserve">Embodied energy (one item)</t>
  </si>
  <si>
    <t xml:space="preserve">MJ/year</t>
  </si>
  <si>
    <t xml:space="preserve">Total GHG emission</t>
  </si>
  <si>
    <t xml:space="preserve">Lifetime</t>
  </si>
  <si>
    <t xml:space="preserve">year</t>
  </si>
  <si>
    <t xml:space="preserve">Total energy</t>
  </si>
  <si>
    <t xml:space="preserve">0.016671627000350075, 43215.33377707453, Bar0</t>
  </si>
  <si>
    <t xml:space="preserve">1.266307778348307, 7833.733254099684, </t>
  </si>
  <si>
    <t xml:space="preserve">2.509345595714272, 5037.971404492563, </t>
  </si>
  <si>
    <t xml:space="preserve">3.759398742146593, 6465.310482368943, </t>
  </si>
  <si>
    <t xml:space="preserve">5.001782449576301, 192.99169057073027, </t>
  </si>
  <si>
    <t xml:space="preserve">We assume MJ to be MJ_primary, as not detailed in the paper.</t>
  </si>
  <si>
    <t xml:space="preserve">https://link.springer.com/book/10.1007/978-1-4419-9988-7  </t>
  </si>
  <si>
    <t xml:space="preserve">Data extracted from the tables</t>
  </si>
  <si>
    <t xml:space="preserve">Unit conversions</t>
  </si>
  <si>
    <t xml:space="preserve">from Table 4.14</t>
  </si>
  <si>
    <t xml:space="preserve">iN</t>
  </si>
  <si>
    <t xml:space="preserve">Net yield : chips/wafer</t>
  </si>
  <si>
    <t xml:space="preserve">chip size </t>
  </si>
  <si>
    <t xml:space="preserve">cm^2</t>
  </si>
  <si>
    <t xml:space="preserve">die size (cm^2/die)</t>
  </si>
  <si>
    <t xml:space="preserve">Water consumption</t>
  </si>
  <si>
    <t xml:space="preserve">from Table A.2</t>
  </si>
  <si>
    <t xml:space="preserve">Fab feedwater</t>
  </si>
  <si>
    <t xml:space="preserve">L/die</t>
  </si>
  <si>
    <t xml:space="preserve">Fab elec (NOT INCLUDED HERE!)</t>
  </si>
  <si>
    <t xml:space="preserve">Silicon</t>
  </si>
  <si>
    <t xml:space="preserve">Infra</t>
  </si>
  <si>
    <t xml:space="preserve">Chemicals</t>
  </si>
  <si>
    <t xml:space="preserve">Total (prod)</t>
  </si>
  <si>
    <t xml:space="preserve">L/cm2</t>
  </si>
  <si>
    <t xml:space="preserve">Primary energy consumption in CMOS logic</t>
  </si>
  <si>
    <t xml:space="preserve">from Table A.1</t>
  </si>
  <si>
    <t xml:space="preserve">Fab (WW av)</t>
  </si>
  <si>
    <t xml:space="preserve">MJ/die</t>
  </si>
  <si>
    <t xml:space="preserve">Infrastructure </t>
  </si>
  <si>
    <t xml:space="preserve">Silicon wafer prod.  </t>
  </si>
  <si>
    <t xml:space="preserve">Chemicals  [MJ/die]</t>
  </si>
  <si>
    <t xml:space="preserve">Total [MJ/die]</t>
  </si>
  <si>
    <t xml:space="preserve">Chemicals  </t>
  </si>
  <si>
    <t xml:space="preserve">Global Warming Potential in CMOS logic</t>
  </si>
  <si>
    <t xml:space="preserve">from Table A.3</t>
  </si>
  <si>
    <t xml:space="preserve">Fab. ideal PFC abat. (50%)</t>
  </si>
  <si>
    <t xml:space="preserve">kgCO2eq/die</t>
  </si>
  <si>
    <t xml:space="preserve">Primary energy consumption in DRAM</t>
  </si>
  <si>
    <t xml:space="preserve">from Table 7.2 and figure</t>
  </si>
  <si>
    <t xml:space="preserve">OS memory capacity</t>
  </si>
  <si>
    <t xml:space="preserve">Gb</t>
  </si>
  <si>
    <t xml:space="preserve">Primary energy use for specific Operation System (estimate from graph, very rough but ok order of magnitude)</t>
  </si>
  <si>
    <t xml:space="preserve">MJ/OS</t>
  </si>
  <si>
    <t xml:space="preserve">Moreover, if we compared the MJ/cm2 for the 250nm, it does not fit with Fig. 7.11 ... 
So I suggest not to consider this table at least for the moment"""</t>
  </si>
  <si>
    <t xml:space="preserve">Use estimation </t>
  </si>
  <si>
    <t xml:space="preserve">DRAM 128 MB 250nm</t>
  </si>
  <si>
    <t xml:space="preserve">Fig. 7.11</t>
  </si>
  <si>
    <t xml:space="preserve">silicon</t>
  </si>
  <si>
    <t xml:space="preserve">chemicals  </t>
  </si>
  <si>
    <t xml:space="preserve">trans</t>
  </si>
  <si>
    <t xml:space="preserve">fab and assembly</t>
  </si>
  <si>
    <t xml:space="preserve">min, conversion from (Ercan 2016)</t>
  </si>
  <si>
    <t xml:space="preserve">(yield not included)</t>
  </si>
  <si>
    <t xml:space="preserve">max, conversion from (Ercan 2016)</t>
  </si>
  <si>
    <t xml:space="preserve">Clement also mentioned 2.7-4.3 kgCO2eq/cm2 in Table 1, which is not what he mentioned in the text.
This does not fit the upper bound (with yield included) of Ercan 2016 either. 
THEREFORE, we do not consider these data in the study</t>
  </si>
  <si>
    <t xml:space="preserve">CFR sheet "Krishnan data" because we considered the data differently (not only semicon manufacturing).
For the rest, the sources mentioned are already taken into account. (although we have 1.29 and 1.56 kWh/cm2, see the sheet "Murhpy data").
THEREFORE, we do not consider this data in this study.</t>
  </si>
  <si>
    <t xml:space="preserve">Also, from the best of our knowledge, there are errors in the "source" column of Table 2. 
- The first one should be Williams (2002)
- The one before the end should be Murphy
So we are not confident for the others</t>
  </si>
  <si>
    <t xml:space="preserve">DRAM, GaBi estimate (min)</t>
  </si>
  <si>
    <t xml:space="preserve">DRAM, GaBi estimate (max)</t>
  </si>
  <si>
    <t xml:space="preserve">DRAM, Boyd estimate</t>
  </si>
  <si>
    <t xml:space="preserve">GaBi estimate</t>
  </si>
  <si>
    <t xml:space="preserve">Boyd estimate (min)</t>
  </si>
  <si>
    <t xml:space="preserve">Boyd estimate (max)</t>
  </si>
  <si>
    <t xml:space="preserve">Flash, GaBi estimate (min)</t>
  </si>
  <si>
    <t xml:space="preserve">MPU, GaBi estimate (min)</t>
  </si>
  <si>
    <t xml:space="preserve">MPU, GaBi estimate (max)</t>
  </si>
  <si>
    <t xml:space="preserve">L,M</t>
  </si>
  <si>
    <t xml:space="preserve">MCU, Flash, Boyd estimate (min)</t>
  </si>
  <si>
    <t xml:space="preserve">It seems that mm2 of package is mixed up with mm2 of die, which is really different.</t>
  </si>
  <si>
    <t xml:space="preserve">Data extracted from Fig. 4 with https://apps.automeris.io/wpd/ </t>
  </si>
  <si>
    <t xml:space="preserve">Energy Emissions</t>
  </si>
  <si>
    <t xml:space="preserve">Table 2</t>
  </si>
  <si>
    <t xml:space="preserve">Electricity -&gt; Energy</t>
  </si>
  <si>
    <t xml:space="preserve">Electricity --&gt; GHG (approx.)</t>
  </si>
  <si>
    <t xml:space="preserve">Direct fossil use
(MJ/cm2)</t>
  </si>
  <si>
    <t xml:space="preserve">Site electricity
(kWh/cm2)</t>
  </si>
  <si>
    <t xml:space="preserve">Total
(MJ/cm2)</t>
  </si>
  <si>
    <t xml:space="preserve">Share of elec on total</t>
  </si>
  <si>
    <t xml:space="preserve">1995-2006</t>
  </si>
  <si>
    <t xml:space="preserve">US Census</t>
  </si>
  <si>
    <t xml:space="preserve">1995.0147126755976, 1.4479569140229689</t>
  </si>
  <si>
    <t xml:space="preserve">1998;2002</t>
  </si>
  <si>
    <t xml:space="preserve">US MECS</t>
  </si>
  <si>
    <t xml:space="preserve">ASM</t>
  </si>
  <si>
    <t xml:space="preserve">1995.9943205333946, 1.4598819247704315</t>
  </si>
  <si>
    <t xml:space="preserve">Japan nati.</t>
  </si>
  <si>
    <t xml:space="preserve">1997.0173721719486, 1.6724066572854446</t>
  </si>
  <si>
    <t xml:space="preserve">1998-2005</t>
  </si>
  <si>
    <t xml:space="preserve">1998.0055512981066, 1.6968654791499223</t>
  </si>
  <si>
    <t xml:space="preserve">(1995-2006)</t>
  </si>
  <si>
    <t xml:space="preserve">1999.0095912759975, 1.4454522879412135</t>
  </si>
  <si>
    <t xml:space="preserve">MEDIAN</t>
  </si>
  <si>
    <t xml:space="preserve">1999.9882111682825, 1.225402996472696</t>
  </si>
  <si>
    <t xml:space="preserve">AVERAGE</t>
  </si>
  <si>
    <t xml:space="preserve">2001.0039732234645, 1.7263335531779114</t>
  </si>
  <si>
    <t xml:space="preserve">2001.9839816078204, 1.8323021999588793</t>
  </si>
  <si>
    <t xml:space="preserve">2003.0059651755507, 1.7940439030512112</t>
  </si>
  <si>
    <t xml:space="preserve">Section 3.3 : In this article, we define the primary energy of electricity as the total fossil fuels
needed to supply global average electricity, including the life cycle fossil fuel inputs to produce fuels and non-fossil inputs. With this definition we calculate primary energy of electricity as 2.76 MJ per
1 MJ direct electric energy consumed.</t>
  </si>
  <si>
    <t xml:space="preserve">2003.9924353883907, 1.4172498778393996</t>
  </si>
  <si>
    <t xml:space="preserve">2004.9977303494995, 1.4605067462023404</t>
  </si>
  <si>
    <t xml:space="preserve">1997.9872605852495, 1.4022061002865098</t>
  </si>
  <si>
    <t xml:space="preserve">1999.0002990598307, 1.2636399319638887</t>
  </si>
  <si>
    <t xml:space="preserve">1999.9795864963805, 1.2003300338845468</t>
  </si>
  <si>
    <t xml:space="preserve">2000.9962030082215, 1.9018870141279067</t>
  </si>
  <si>
    <t xml:space="preserve">2001.9925795779518, 1.8511055868114614</t>
  </si>
  <si>
    <t xml:space="preserve">2002.9792634049563, 1.5244681674841858</t>
  </si>
  <si>
    <t xml:space="preserve">--&gt; PEF = 2.76</t>
  </si>
  <si>
    <t xml:space="preserve">2003.9837840147181, 1.3859073395156833</t>
  </si>
  <si>
    <t xml:space="preserve">2004.9898533271742, 1.610981904210068</t>
  </si>
  <si>
    <t xml:space="preserve">Taiwanese semiconductor industry</t>
  </si>
  <si>
    <t xml:space="preserve">US macto-statistics</t>
  </si>
  <si>
    <t xml:space="preserve">(taken into account in Hu 2003)</t>
  </si>
  <si>
    <t xml:space="preserve">Section B (Data collection) : 
Two sets of time series data on energy use on semiconductor
manufacturing were collected. One is the Annual Survey of
Manufacturers (ASM) from the U.S. Census, which gives total
electricity consumption of the U.S. semiconductor sector. This
is normalized per unit of input silicon wafer by using industry
data on total wafer consumption in the U.S. This set of data
spans from 1995 to 2005. The second source is a series of
annual reports from the Taiwanese semiconductor
manufacturer UMC, which shows electricity use per area of
input wafer. This set of data spans from 1998 to 2005.</t>
  </si>
  <si>
    <t xml:space="preserve">memories (paper)</t>
  </si>
  <si>
    <t xml:space="preserve">ICs smartphone, average (paper)</t>
  </si>
  <si>
    <t xml:space="preserve">ASICs (paper)</t>
  </si>
  <si>
    <t xml:space="preserve">Processors and ASICs, average (paper)</t>
  </si>
  <si>
    <t xml:space="preserve">low value, yield not included</t>
  </si>
  <si>
    <t xml:space="preserve">Memories, average (paper)</t>
  </si>
  <si>
    <t xml:space="preserve">high value, yield not included</t>
  </si>
  <si>
    <t xml:space="preserve">min, low-end</t>
  </si>
  <si>
    <t xml:space="preserve">low value, yield included</t>
  </si>
  <si>
    <t xml:space="preserve">max, low-end</t>
  </si>
  <si>
    <t xml:space="preserve">high value, yield included</t>
  </si>
  <si>
    <t xml:space="preserve">(assumed to be an outlier, not considered in this study)</t>
  </si>
  <si>
    <t xml:space="preserve">ICs</t>
  </si>
  <si>
    <t xml:space="preserve">ICs, Estimated from Boyd</t>
  </si>
  <si>
    <t xml:space="preserve">From Fig. 2</t>
  </si>
  <si>
    <t xml:space="preserve">From Table III</t>
  </si>
  <si>
    <t xml:space="preserve"> Energy - GWP</t>
  </si>
  <si>
    <t xml:space="preserve">Tech. node</t>
  </si>
  <si>
    <t xml:space="preserve">The very high amount for 28nm might be exlpained by the hypothesis of the authors regarding the modeling of multiple patterning. It seems that they extrapolated Murphy's model and there is no guarantee that it is still valid for this more specific process. This would require more details. 
Furthermore, the Figure is more precise in the 2017 paper, so we use that one. 
THEREFORE, we do not condiser these data.</t>
  </si>
  <si>
    <t xml:space="preserve">Same explanation for the 28nm. 
THEREFORE, we do not condiser the 28nm values.</t>
  </si>
  <si>
    <t xml:space="preserve">349.37, 0.93</t>
  </si>
  <si>
    <t xml:space="preserve">348.74, 0.07</t>
  </si>
  <si>
    <t xml:space="preserve">248.80, 0.73</t>
  </si>
  <si>
    <t xml:space="preserve">249.61, 0.05</t>
  </si>
  <si>
    <t xml:space="preserve">351.2597, 0.9559</t>
  </si>
  <si>
    <t xml:space="preserve">350.0000, 0.0641</t>
  </si>
  <si>
    <t xml:space="preserve">179.01, 0.67</t>
  </si>
  <si>
    <t xml:space="preserve">178.27, 0.05</t>
  </si>
  <si>
    <t xml:space="preserve">297.1960, 0.7578</t>
  </si>
  <si>
    <t xml:space="preserve">295.9558, 0.0438</t>
  </si>
  <si>
    <t xml:space="preserve">128.57, 0.53</t>
  </si>
  <si>
    <t xml:space="preserve">129.34, 0.04</t>
  </si>
  <si>
    <t xml:space="preserve">243.8729, 0.7063</t>
  </si>
  <si>
    <t xml:space="preserve">241.9116, 0.0494</t>
  </si>
  <si>
    <t xml:space="preserve">87.32, 0.58</t>
  </si>
  <si>
    <t xml:space="preserve">88.61, 0.04</t>
  </si>
  <si>
    <t xml:space="preserve">189.8412, 0.5580</t>
  </si>
  <si>
    <t xml:space="preserve">188.8382, 0.0341</t>
  </si>
  <si>
    <t xml:space="preserve">62.90, 0.62</t>
  </si>
  <si>
    <t xml:space="preserve">63.67, 0.04</t>
  </si>
  <si>
    <t xml:space="preserve">136.2594, 0.6060</t>
  </si>
  <si>
    <t xml:space="preserve">135.1176, 0.0415</t>
  </si>
  <si>
    <t xml:space="preserve">43.23, 0.77</t>
  </si>
  <si>
    <t xml:space="preserve">44.10, 0.06</t>
  </si>
  <si>
    <t xml:space="preserve">83.6481, 0.6566</t>
  </si>
  <si>
    <t xml:space="preserve">82.0442, 0.0409</t>
  </si>
  <si>
    <t xml:space="preserve">25.78, 3.78</t>
  </si>
  <si>
    <t xml:space="preserve">27.37, 0.50</t>
  </si>
  <si>
    <t xml:space="preserve">30.4552, 0.8067</t>
  </si>
  <si>
    <t xml:space="preserve">29.2945, 0.0549</t>
  </si>
  <si>
    <t xml:space="preserve">Scope</t>
  </si>
  <si>
    <t xml:space="preserve">MJ/wafer</t>
  </si>
  <si>
    <t xml:space="preserve">Devices are fabricated on silicon wafer substrates that are 300 mm in diameter, and we choose this wafer as a functional unit. The microprocessor described in this work is equivalent to a Pentium 4. Each 300 mm wafer can produce 442 such functioning Pentium 4 equivalent processors (the wafer can be diced into 491 processors, with a mature die yield of approximately 90%).</t>
  </si>
  <si>
    <t xml:space="preserve">Chemical manufacturing</t>
  </si>
  <si>
    <t xml:space="preserve">Si wafer production</t>
  </si>
  <si>
    <t xml:space="preserve">Equipment manufacturing</t>
  </si>
  <si>
    <t xml:space="preserve">Semiconductor fabrication</t>
  </si>
  <si>
    <t xml:space="preserve">Total Energy</t>
  </si>
  <si>
    <t xml:space="preserve">Pentium 4 (6 -layer microprocessor)</t>
  </si>
  <si>
    <t xml:space="preserve">MJ for IC production (one wafer)</t>
  </si>
  <si>
    <t xml:space="preserve">Wafer Area</t>
  </si>
  <si>
    <t xml:space="preserve">Number of dies per wafer</t>
  </si>
  <si>
    <t xml:space="preserve">https://math.stackexchange.com/questions/3007527/how-many-squares-fit-in-a-circle</t>
  </si>
  <si>
    <t xml:space="preserve">Die size : rough estimation</t>
  </si>
  <si>
    <t xml:space="preserve">cm2/die</t>
  </si>
  <si>
    <t xml:space="preserve">https://www.symbolab.com/solver/equation-calculator/491%3D%5Cfrac%7B3.14%5Ccdot%5Cleft(150%5E%7B2%7D%5Cright)%7D%7Bx%7D-%5Cfrac%7B3.14%5Ccdot150%7D%7B%5Csqrt%7B2%5Ccdot%20x%7D%7D?or=input</t>
  </si>
  <si>
    <t xml:space="preserve">Die size (better estimation)</t>
  </si>
  <si>
    <t xml:space="preserve">mm2/die</t>
  </si>
  <si>
    <t xml:space="preserve">-&gt; fraction lost of wafer :</t>
  </si>
  <si>
    <t xml:space="preserve">Total energy per cm2</t>
  </si>
  <si>
    <t xml:space="preserve">-&gt; effective fraction of wafer used for dies</t>
  </si>
  <si>
    <t xml:space="preserve">Total energy per cm2 (better estimation)</t>
  </si>
  <si>
    <t xml:space="preserve">Total energy per cm2 (including Deng ratio)</t>
  </si>
  <si>
    <t xml:space="preserve">minimum</t>
  </si>
  <si>
    <t xml:space="preserve">Data were collected over a 1-year period (from April 1998 to September 1999) using central monitoring systems.</t>
  </si>
  <si>
    <t xml:space="preserve">maximum</t>
  </si>
  <si>
    <t xml:space="preserve">average</t>
  </si>
  <si>
    <t xml:space="preserve">EPA estimate, US national average</t>
  </si>
  <si>
    <t xml:space="preserve">From Introduction</t>
  </si>
  <si>
    <t xml:space="preserve">US Departement of Commerce and Dataquest</t>
  </si>
  <si>
    <t xml:space="preserve">From abstract</t>
  </si>
  <si>
    <t xml:space="preserve">Pei P. International energy project status</t>
  </si>
  <si>
    <t xml:space="preserve">https://doi.org/10.1007/s13762-015-0869-z</t>
  </si>
  <si>
    <t xml:space="preserve">No quantitative data disclosed in the paper because confidentiality issues, although it would have been really interesting given the level of details.</t>
  </si>
  <si>
    <t xml:space="preserve">µm</t>
  </si>
  <si>
    <t xml:space="preserve">Energy for one wafer (6-layers)</t>
  </si>
  <si>
    <t xml:space="preserve">kWh</t>
  </si>
  <si>
    <t xml:space="preserve">Energy for one wafer (8-layers)</t>
  </si>
  <si>
    <t xml:space="preserve">Effective die area per wafer</t>
  </si>
  <si>
    <t xml:space="preserve">(this seems very low)</t>
  </si>
  <si>
    <t xml:space="preserve">Total energy per cm2 (6-layers)</t>
  </si>
  <si>
    <t xml:space="preserve">Total energy per cm2 (8-layers)</t>
  </si>
  <si>
    <t xml:space="preserve">https://citeseerx.ist.psu.edu/viewdoc/download?doi=10.1.1.118.6922&amp;rep=rep1&amp;type=pdf </t>
  </si>
  <si>
    <t xml:space="preserve">p.27</t>
  </si>
  <si>
    <t xml:space="preserve">kWh/cm2 wafer
[RAW DATA]</t>
  </si>
  <si>
    <t xml:space="preserve">MJ_prim/cm2
(only elec)</t>
  </si>
  <si>
    <t xml:space="preserve">MJ_prim/cm2
(total, approx. via Deng)</t>
  </si>
  <si>
    <t xml:space="preserve">As data are given per area of processed wafer for total energy consumption and per total area of wafer for water consumption, we assume that yields are not considered in both case, although this is not explicitly mentioned. We also assume that only front-end processing was considered as data are given per area of wafer. Regarding infrastructure and upstream chemicals, we assume they were not considered as not mentioned explicitly. The location is assumed to be GLOBAL when not disclosed as it gathers fabs from Tawain, Japan, Europe and US.</t>
  </si>
  <si>
    <t xml:space="preserve">Assumed to be an outlier, not considered in this study</t>
  </si>
  <si>
    <t xml:space="preserve">BEST CASE ESTIMATE (not considered in this study)</t>
  </si>
  <si>
    <t xml:space="preserve">Liter/cm2 wafer
[RAW DATA]</t>
  </si>
  <si>
    <t xml:space="preserve">Front-end</t>
  </si>
  <si>
    <t xml:space="preserve">From Tabelle 18</t>
  </si>
  <si>
    <t xml:space="preserve">From Tabelle 30</t>
  </si>
  <si>
    <t xml:space="preserve">Electricity</t>
  </si>
  <si>
    <t xml:space="preserve">Natural gas</t>
  </si>
  <si>
    <t xml:space="preserve">Back-end</t>
  </si>
  <si>
    <t xml:space="preserve">From Tabelle 27</t>
  </si>
  <si>
    <t xml:space="preserve">(Yield are included in these values)</t>
  </si>
  <si>
    <t xml:space="preserve">Yield are included in these values</t>
  </si>
  <si>
    <t xml:space="preserve">Total</t>
  </si>
  <si>
    <t xml:space="preserve">https://www.fairphone.com/wp-content/uploads/2020/07/Fairphone_3_LCA.pdf</t>
  </si>
  <si>
    <t xml:space="preserve">From Table 3-8</t>
  </si>
  <si>
    <t xml:space="preserve">From Table 3-7</t>
  </si>
  <si>
    <t xml:space="preserve">(Back-end evaluation is based on an assumption 1/2 - 2/3, see p.26)</t>
  </si>
  <si>
    <t xml:space="preserve">(Note that "Fab direct emissions and EoL is not accounted here, delta of 0.15 kgCO2eq) </t>
  </si>
  <si>
    <t xml:space="preserve">logic</t>
  </si>
  <si>
    <t xml:space="preserve">DRAM</t>
  </si>
  <si>
    <t xml:space="preserve">Table B.2</t>
  </si>
  <si>
    <t xml:space="preserve">Table B.3</t>
  </si>
  <si>
    <t xml:space="preserve">Table B.1</t>
  </si>
  <si>
    <t xml:space="preserve">Energy - GWP</t>
  </si>
  <si>
    <t xml:space="preserve">Product</t>
  </si>
  <si>
    <t xml:space="preserve">PED</t>
  </si>
  <si>
    <t xml:space="preserve">Area (mm2)</t>
  </si>
  <si>
    <t xml:space="preserve">Area (cm2)</t>
  </si>
  <si>
    <t xml:space="preserve">GWP/cm2
(kgCO2eq/cm2)</t>
  </si>
  <si>
    <t xml:space="preserve">PED/cm2
(MJ/cm2)</t>
  </si>
  <si>
    <t xml:space="preserve">Desktop (ei)</t>
  </si>
  <si>
    <t xml:space="preserve">Desktop - tower</t>
  </si>
  <si>
    <t xml:space="preserve">Desktop - small</t>
  </si>
  <si>
    <t xml:space="preserve">Thin client</t>
  </si>
  <si>
    <t xml:space="preserve">LCD monitor, 17" (ei)</t>
  </si>
  <si>
    <t xml:space="preserve">LCD monitor, 21.5"</t>
  </si>
  <si>
    <t xml:space="preserve">Laptop, with dock, 12" (ei) </t>
  </si>
  <si>
    <t xml:space="preserve">Laptop, 16"</t>
  </si>
  <si>
    <t xml:space="preserve">Netbook, 10"</t>
  </si>
  <si>
    <t xml:space="preserve">iPad</t>
  </si>
  <si>
    <t xml:space="preserve">iPod touch</t>
  </si>
  <si>
    <t xml:space="preserve">Kindle</t>
  </si>
  <si>
    <t xml:space="preserve">Rack server</t>
  </si>
  <si>
    <t xml:space="preserve">Switch</t>
  </si>
  <si>
    <t xml:space="preserve">MIN</t>
  </si>
  <si>
    <t xml:space="preserve">MAX</t>
  </si>
  <si>
    <t xml:space="preserve">From Table 3.1</t>
  </si>
  <si>
    <t xml:space="preserve">Impacts per finished die area</t>
  </si>
  <si>
    <t xml:space="preserve">Williams (2004)</t>
  </si>
  <si>
    <t xml:space="preserve">considered in this study (because different from our evaluation)</t>
  </si>
  <si>
    <t xml:space="preserve">Yao et al (2010)</t>
  </si>
  <si>
    <t xml:space="preserve">(discarded in Teehan)</t>
  </si>
  <si>
    <t xml:space="preserve">Hischier et al (2007)</t>
  </si>
  <si>
    <t xml:space="preserve">considered in this study</t>
  </si>
  <si>
    <t xml:space="preserve">IVF (2007)</t>
  </si>
  <si>
    <t xml:space="preserve">Williams et al. (2002) </t>
  </si>
  <si>
    <t xml:space="preserve">Krishnan et al (2008)</t>
  </si>
  <si>
    <t xml:space="preserve">Boyd et al (2009)</t>
  </si>
  <si>
    <t xml:space="preserve">Andrae and Anderson (2010)</t>
  </si>
  <si>
    <t xml:space="preserve">considered in this study (because it was given per mass in Williams, so not considered there)</t>
  </si>
  <si>
    <t xml:space="preserve">From Table 1</t>
  </si>
  <si>
    <t xml:space="preserve">ATTENTION: not peer-reviewed nor officially published</t>
  </si>
  <si>
    <t xml:space="preserve">CMOS</t>
  </si>
  <si>
    <t xml:space="preserve">FinFET, LR</t>
  </si>
  <si>
    <t xml:space="preserve">FinFET, HR</t>
  </si>
  <si>
    <t xml:space="preserve">Wafer area</t>
  </si>
  <si>
    <t xml:space="preserve">global average direct fossil use (MJ/cm2)</t>
  </si>
  <si>
    <t xml:space="preserve">Site electricity use (kWh/cm2)</t>
  </si>
  <si>
    <t xml:space="preserve">total</t>
  </si>
  <si>
    <t xml:space="preserve">results (paper)</t>
  </si>
  <si>
    <t xml:space="preserve">see Fig.3 p.5509</t>
  </si>
  <si>
    <t xml:space="preserve">1995-2000</t>
  </si>
  <si>
    <t xml:space="preserve">Table 1 --&gt; but really close to the numbers in Deng 2011.
However, to obtain 8.2 MJ/cm2, he considers MJ in final energy because 1.54*3.6 + 2.7 = 8.24 MJ/cm2.
THEREFORE, we do not consider these data which is already captured in the other sources</t>
  </si>
  <si>
    <t xml:space="preserve">1993-1999</t>
  </si>
  <si>
    <t xml:space="preserve">US Census Annual Survey of Manufacturers</t>
  </si>
  <si>
    <t xml:space="preserve">min, Semi International</t>
  </si>
  <si>
    <t xml:space="preserve">JEIDA (Japan Electronics Industry Development Association)</t>
  </si>
  <si>
    <t xml:space="preserve">max, Semi International</t>
  </si>
  <si>
    <t xml:space="preserve">min, SEMATECH (US)</t>
  </si>
  <si>
    <t xml:space="preserve">1998-2001</t>
  </si>
  <si>
    <t xml:space="preserve">max, SEMATECH (US)</t>
  </si>
  <si>
    <t xml:space="preserve">average, SEMATECH (US)</t>
  </si>
  <si>
    <t xml:space="preserve">Table 1 and 2 --&gt; but really close to the numbers in Deng 2011
THEREFORE, we do not consider these data</t>
  </si>
  <si>
    <t xml:space="preserve">As the Fig. 3 is the same as in its previous publication (2002) and because "embodied fossil fuel" is harder to include due to the lack of conversion factor, we assume this is the same data as in the publication of 2002. 
THEREFORE, we do not include it in this study (as already covered). </t>
  </si>
  <si>
    <t xml:space="preserve">Data extracted from Figure 1 with https://apps.automeris.io/wpd/ </t>
  </si>
  <si>
    <t xml:space="preserve">World Semiconductor Council</t>
  </si>
  <si>
    <t xml:space="preserve">2001.04, 1.65</t>
  </si>
  <si>
    <t xml:space="preserve">2002.02, 1.60</t>
  </si>
  <si>
    <t xml:space="preserve">2003.04, 1.52</t>
  </si>
  <si>
    <t xml:space="preserve">2004.02, 1.40</t>
  </si>
  <si>
    <t xml:space="preserve">2005.01, 1.36</t>
  </si>
  <si>
    <t xml:space="preserve">2006.01, 1.25</t>
  </si>
  <si>
    <t xml:space="preserve">2007.00, 1.04</t>
  </si>
  <si>
    <t xml:space="preserve">2008.01, 1.04</t>
  </si>
  <si>
    <t xml:space="preserve">cfr sheet "Industries data"</t>
  </si>
  <si>
    <t xml:space="preserve">Production (cm²)</t>
  </si>
  <si>
    <t xml:space="preserve">Average</t>
  </si>
  <si>
    <t xml:space="preserve">TOT</t>
  </si>
  <si>
    <t xml:space="preserve">Worldwide production (cm²)</t>
  </si>
  <si>
    <t xml:space="preserve">Coverage (this study)</t>
  </si>
  <si>
    <t xml:space="preserve">Weightening (% of worldwide production)</t>
  </si>
  <si>
    <t xml:space="preserve">NOT USED</t>
  </si>
  <si>
    <t xml:space="preserve">Annual Growth (%)</t>
  </si>
  <si>
    <t xml:space="preserve">Foundry</t>
  </si>
  <si>
    <t xml:space="preserve">Share of scope 2 in total (scope 1+2)</t>
  </si>
  <si>
    <t xml:space="preserve">see sheet "Industry data"</t>
  </si>
  <si>
    <t xml:space="preserve">UMC tot GHG (kgCO2e/cm²)</t>
  </si>
  <si>
    <t xml:space="preserve">UMC Scope 1 (kgCO2e/cm²)</t>
  </si>
  <si>
    <t xml:space="preserve">UMC Scope 1 share (% of tot)</t>
  </si>
  <si>
    <t xml:space="preserve">UMC F-GHG (kTCO2e)</t>
  </si>
  <si>
    <t xml:space="preserve">UMC F-GHG (kgCO2e/cm²)</t>
  </si>
  <si>
    <t xml:space="preserve">UMC F-GHG share (% of scope 1)</t>
  </si>
  <si>
    <t xml:space="preserve">UMC F-GHG share (% of tot)</t>
  </si>
  <si>
    <t xml:space="preserve">HFC</t>
  </si>
  <si>
    <t xml:space="preserve">PFC</t>
  </si>
  <si>
    <t xml:space="preserve">SF6</t>
  </si>
  <si>
    <t xml:space="preserve">NF3</t>
  </si>
  <si>
    <t xml:space="preserve">Tot</t>
  </si>
  <si>
    <t xml:space="preserve">https://doi.org/10.1109/IEDM13553.2020.9372004 </t>
  </si>
  <si>
    <t xml:space="preserve">Fig. 13 (70% coal, 20% hydro, 5% nuclear, 5% solar)</t>
  </si>
  <si>
    <t xml:space="preserve">Fig. 15a</t>
  </si>
  <si>
    <t xml:space="preserve">Fig. 15b</t>
  </si>
  <si>
    <t xml:space="preserve">Bardon tot GHG (kgCO2e/cm2)</t>
  </si>
  <si>
    <t xml:space="preserve">F-GHG, 95% abat (kgCO2eq/cm2)</t>
  </si>
  <si>
    <t xml:space="preserve">F-GHG, 99% abat (kgCO2eq/cm2)</t>
  </si>
  <si>
    <t xml:space="preserve">F-GHG 95% abat, share (% of tot)</t>
  </si>
  <si>
    <t xml:space="preserve">F-GHG 99% abat, share (% of tot)</t>
  </si>
</sst>
</file>

<file path=xl/styles.xml><?xml version="1.0" encoding="utf-8"?>
<styleSheet xmlns="http://schemas.openxmlformats.org/spreadsheetml/2006/main">
  <numFmts count="10">
    <numFmt numFmtId="164" formatCode="General"/>
    <numFmt numFmtId="165" formatCode="@"/>
    <numFmt numFmtId="166" formatCode="0.00"/>
    <numFmt numFmtId="167" formatCode="0.0"/>
    <numFmt numFmtId="168" formatCode="0"/>
    <numFmt numFmtId="169" formatCode="0.000"/>
    <numFmt numFmtId="170" formatCode="General"/>
    <numFmt numFmtId="171" formatCode="0.0%"/>
    <numFmt numFmtId="172" formatCode="0%"/>
    <numFmt numFmtId="173" formatCode="0.00%"/>
  </numFmts>
  <fonts count="56">
    <font>
      <sz val="12"/>
      <color rgb="FF000000"/>
      <name val="Calibri"/>
      <family val="2"/>
      <charset val="1"/>
    </font>
    <font>
      <sz val="10"/>
      <name val="Arial"/>
      <family val="0"/>
    </font>
    <font>
      <sz val="10"/>
      <name val="Arial"/>
      <family val="0"/>
    </font>
    <font>
      <sz val="10"/>
      <name val="Arial"/>
      <family val="0"/>
    </font>
    <font>
      <u val="single"/>
      <sz val="12"/>
      <color rgb="FF0563C1"/>
      <name val="Calibri"/>
      <family val="2"/>
      <charset val="1"/>
    </font>
    <font>
      <b val="true"/>
      <sz val="28"/>
      <color rgb="FFFFFFFF"/>
      <name val="Calibri"/>
      <family val="0"/>
      <charset val="1"/>
    </font>
    <font>
      <b val="true"/>
      <sz val="28"/>
      <color rgb="FF000000"/>
      <name val="Calibri"/>
      <family val="0"/>
      <charset val="1"/>
    </font>
    <font>
      <b val="true"/>
      <sz val="16"/>
      <color rgb="FF000000"/>
      <name val="Calibri"/>
      <family val="2"/>
      <charset val="1"/>
    </font>
    <font>
      <b val="true"/>
      <sz val="12"/>
      <color rgb="FF000000"/>
      <name val="Calibri"/>
      <family val="2"/>
      <charset val="1"/>
    </font>
    <font>
      <i val="true"/>
      <sz val="12"/>
      <color rgb="FF000000"/>
      <name val="Calibri"/>
      <family val="2"/>
      <charset val="1"/>
    </font>
    <font>
      <b val="true"/>
      <sz val="16"/>
      <color rgb="FFFFFFFF"/>
      <name val="Calibri"/>
      <family val="2"/>
      <charset val="1"/>
    </font>
    <font>
      <sz val="12"/>
      <color rgb="FF000000"/>
      <name val="Calibri"/>
      <family val="0"/>
      <charset val="1"/>
    </font>
    <font>
      <sz val="12"/>
      <color rgb="FFFF0000"/>
      <name val="Calibri"/>
      <family val="2"/>
      <charset val="1"/>
    </font>
    <font>
      <sz val="12"/>
      <color rgb="FFFFFFFF"/>
      <name val="Calibri"/>
      <family val="2"/>
      <charset val="1"/>
    </font>
    <font>
      <sz val="10"/>
      <color rgb="FF000000"/>
      <name val="Arial"/>
      <family val="0"/>
      <charset val="1"/>
    </font>
    <font>
      <b val="true"/>
      <sz val="12"/>
      <color rgb="FFFF0000"/>
      <name val="Calibri"/>
      <family val="2"/>
      <charset val="1"/>
    </font>
    <font>
      <sz val="12"/>
      <color rgb="FFED7D31"/>
      <name val="Calibri"/>
      <family val="2"/>
      <charset val="1"/>
    </font>
    <font>
      <sz val="12"/>
      <name val="Calibri"/>
      <family val="2"/>
      <charset val="1"/>
    </font>
    <font>
      <b val="true"/>
      <sz val="11"/>
      <color rgb="FF000000"/>
      <name val="Calibri"/>
      <family val="2"/>
      <charset val="1"/>
    </font>
    <font>
      <b val="true"/>
      <sz val="11"/>
      <color rgb="FFE7E6E6"/>
      <name val="Calibri"/>
      <family val="2"/>
      <charset val="1"/>
    </font>
    <font>
      <sz val="11"/>
      <color rgb="FF000000"/>
      <name val="Calibri"/>
      <family val="2"/>
      <charset val="1"/>
    </font>
    <font>
      <sz val="11"/>
      <color rgb="FFAEAAAA"/>
      <name val="Calibri"/>
      <family val="2"/>
      <charset val="1"/>
    </font>
    <font>
      <b val="true"/>
      <sz val="12"/>
      <color rgb="FFC00000"/>
      <name val="Calibri"/>
      <family val="2"/>
      <charset val="1"/>
    </font>
    <font>
      <sz val="12"/>
      <color rgb="FFA5A5A5"/>
      <name val="Calibri"/>
      <family val="2"/>
      <charset val="1"/>
    </font>
    <font>
      <b val="true"/>
      <sz val="8"/>
      <color rgb="FF000000"/>
      <name val="Calibri"/>
      <family val="2"/>
      <charset val="1"/>
    </font>
    <font>
      <sz val="8"/>
      <color rgb="FF000000"/>
      <name val="Calibri"/>
      <family val="2"/>
      <charset val="1"/>
    </font>
    <font>
      <sz val="9"/>
      <color rgb="FF333333"/>
      <name val="Calibri"/>
      <family val="0"/>
      <charset val="1"/>
    </font>
    <font>
      <sz val="12"/>
      <color rgb="FF4472C4"/>
      <name val="Calibri"/>
      <family val="2"/>
      <charset val="1"/>
    </font>
    <font>
      <sz val="10"/>
      <color rgb="FF4472C4"/>
      <name val="Arial"/>
      <family val="0"/>
      <charset val="1"/>
    </font>
    <font>
      <sz val="10"/>
      <color rgb="FF000000"/>
      <name val="Calibri"/>
      <family val="2"/>
      <charset val="1"/>
    </font>
    <font>
      <i val="true"/>
      <sz val="8"/>
      <color rgb="FF000000"/>
      <name val="Calibri"/>
      <family val="2"/>
      <charset val="1"/>
    </font>
    <font>
      <sz val="8"/>
      <color rgb="FFFFFFFF"/>
      <name val="Calibri"/>
      <family val="2"/>
      <charset val="1"/>
    </font>
    <font>
      <b val="true"/>
      <sz val="16"/>
      <color rgb="FF333333"/>
      <name val="Calibri"/>
      <family val="0"/>
      <charset val="1"/>
    </font>
    <font>
      <sz val="16"/>
      <color rgb="FF333333"/>
      <name val="Calibri"/>
      <family val="0"/>
      <charset val="1"/>
    </font>
    <font>
      <sz val="12"/>
      <color rgb="FF333333"/>
      <name val="Calibri"/>
      <family val="0"/>
      <charset val="1"/>
    </font>
    <font>
      <b val="true"/>
      <sz val="12"/>
      <color rgb="FF000000"/>
      <name val="Calibri"/>
      <family val="0"/>
      <charset val="1"/>
    </font>
    <font>
      <b val="true"/>
      <sz val="10"/>
      <color rgb="FF000000"/>
      <name val="Arial"/>
      <family val="0"/>
      <charset val="1"/>
    </font>
    <font>
      <b val="true"/>
      <sz val="12"/>
      <color rgb="FF595959"/>
      <name val="Calibri"/>
      <family val="2"/>
      <charset val="1"/>
    </font>
    <font>
      <sz val="10"/>
      <color rgb="FFFF0000"/>
      <name val="Arial"/>
      <family val="0"/>
      <charset val="1"/>
    </font>
    <font>
      <sz val="12"/>
      <color rgb="FF757171"/>
      <name val="Calibri"/>
      <family val="2"/>
      <charset val="1"/>
    </font>
    <font>
      <b val="true"/>
      <i val="true"/>
      <sz val="12"/>
      <color rgb="FF000000"/>
      <name val="Calibri"/>
      <family val="2"/>
      <charset val="1"/>
    </font>
    <font>
      <b val="true"/>
      <sz val="14"/>
      <color rgb="FF000000"/>
      <name val="Calibri"/>
      <family val="2"/>
      <charset val="1"/>
    </font>
    <font>
      <sz val="12"/>
      <color rgb="FFD0CECE"/>
      <name val="Calibri"/>
      <family val="2"/>
      <charset val="1"/>
    </font>
    <font>
      <b val="true"/>
      <sz val="12"/>
      <color rgb="FFAEAAAA"/>
      <name val="Calibri"/>
      <family val="2"/>
      <charset val="1"/>
    </font>
    <font>
      <sz val="12"/>
      <color rgb="FFAEAAAA"/>
      <name val="Calibri"/>
      <family val="2"/>
      <charset val="1"/>
    </font>
    <font>
      <b val="true"/>
      <i val="true"/>
      <sz val="12"/>
      <color rgb="FFDBDBDB"/>
      <name val="Calibri"/>
      <family val="2"/>
      <charset val="1"/>
    </font>
    <font>
      <sz val="12"/>
      <color rgb="FFDBDBDB"/>
      <name val="Calibri"/>
      <family val="2"/>
      <charset val="1"/>
    </font>
    <font>
      <sz val="12"/>
      <color rgb="FFA6A6A6"/>
      <name val="Calibri"/>
      <family val="2"/>
      <charset val="1"/>
    </font>
    <font>
      <b val="true"/>
      <i val="true"/>
      <sz val="12"/>
      <color rgb="FFA6A6A6"/>
      <name val="Calibri"/>
      <family val="2"/>
      <charset val="1"/>
    </font>
    <font>
      <b val="true"/>
      <sz val="12"/>
      <color rgb="FFA6A6A6"/>
      <name val="Calibri"/>
      <family val="2"/>
      <charset val="1"/>
    </font>
    <font>
      <sz val="12"/>
      <color rgb="FFC00000"/>
      <name val="Calibri"/>
      <family val="2"/>
      <charset val="1"/>
    </font>
    <font>
      <sz val="11"/>
      <color rgb="FF444444"/>
      <name val="Calibri"/>
      <family val="0"/>
      <charset val="1"/>
    </font>
    <font>
      <b val="true"/>
      <sz val="12"/>
      <color rgb="FFA5A5A5"/>
      <name val="Calibri"/>
      <family val="2"/>
      <charset val="1"/>
    </font>
    <font>
      <i val="true"/>
      <sz val="12"/>
      <color rgb="FFA5A5A5"/>
      <name val="Calibri"/>
      <family val="2"/>
      <charset val="1"/>
    </font>
    <font>
      <sz val="12"/>
      <color rgb="FFBFBFBF"/>
      <name val="Calibri"/>
      <family val="2"/>
      <charset val="1"/>
    </font>
    <font>
      <b val="true"/>
      <sz val="12"/>
      <name val="Calibri"/>
      <family val="2"/>
      <charset val="1"/>
    </font>
  </fonts>
  <fills count="25">
    <fill>
      <patternFill patternType="none"/>
    </fill>
    <fill>
      <patternFill patternType="gray125"/>
    </fill>
    <fill>
      <patternFill patternType="solid">
        <fgColor rgb="FFFFFFFF"/>
        <bgColor rgb="FFEDEDED"/>
      </patternFill>
    </fill>
    <fill>
      <patternFill patternType="solid">
        <fgColor rgb="FF000000"/>
        <bgColor rgb="FF003300"/>
      </patternFill>
    </fill>
    <fill>
      <patternFill patternType="solid">
        <fgColor rgb="FFA9D08E"/>
        <bgColor rgb="FFBFBFBF"/>
      </patternFill>
    </fill>
    <fill>
      <patternFill patternType="solid">
        <fgColor rgb="FFE2EFDA"/>
        <bgColor rgb="FFE7E6E6"/>
      </patternFill>
    </fill>
    <fill>
      <patternFill patternType="solid">
        <fgColor rgb="FFBFBFBF"/>
        <bgColor rgb="FFD0CECE"/>
      </patternFill>
    </fill>
    <fill>
      <patternFill patternType="solid">
        <fgColor rgb="FFEDEDED"/>
        <bgColor rgb="FFE7E6E6"/>
      </patternFill>
    </fill>
    <fill>
      <patternFill patternType="solid">
        <fgColor rgb="FFA5A5A5"/>
        <bgColor rgb="FFA6A6A6"/>
      </patternFill>
    </fill>
    <fill>
      <patternFill patternType="solid">
        <fgColor rgb="FF44546A"/>
        <bgColor rgb="FF595959"/>
      </patternFill>
    </fill>
    <fill>
      <patternFill patternType="solid">
        <fgColor rgb="FFE7E6E6"/>
        <bgColor rgb="FFEDEDED"/>
      </patternFill>
    </fill>
    <fill>
      <patternFill patternType="solid">
        <fgColor rgb="FF548235"/>
        <bgColor rgb="FF757171"/>
      </patternFill>
    </fill>
    <fill>
      <patternFill patternType="solid">
        <fgColor rgb="FFF8CBAD"/>
        <bgColor rgb="FFFFC7CE"/>
      </patternFill>
    </fill>
    <fill>
      <patternFill patternType="solid">
        <fgColor rgb="FF00B0F0"/>
        <bgColor rgb="FF33CCCC"/>
      </patternFill>
    </fill>
    <fill>
      <patternFill patternType="solid">
        <fgColor rgb="FFFFF2CC"/>
        <bgColor rgb="FFEDEDED"/>
      </patternFill>
    </fill>
    <fill>
      <patternFill patternType="solid">
        <fgColor rgb="FFFF8C8C"/>
        <bgColor rgb="FFED7D31"/>
      </patternFill>
    </fill>
    <fill>
      <patternFill patternType="solid">
        <fgColor rgb="FFDBDBDB"/>
        <bgColor rgb="FFD9D9D9"/>
      </patternFill>
    </fill>
    <fill>
      <patternFill patternType="solid">
        <fgColor rgb="FFDDEBF7"/>
        <bgColor rgb="FFE7E6E6"/>
      </patternFill>
    </fill>
    <fill>
      <patternFill patternType="solid">
        <fgColor rgb="FF4472C4"/>
        <bgColor rgb="FF0563C1"/>
      </patternFill>
    </fill>
    <fill>
      <patternFill patternType="solid">
        <fgColor rgb="FFA6A6A6"/>
        <bgColor rgb="FFA5A5A5"/>
      </patternFill>
    </fill>
    <fill>
      <patternFill patternType="solid">
        <fgColor rgb="FF808080"/>
        <bgColor rgb="FF757171"/>
      </patternFill>
    </fill>
    <fill>
      <patternFill patternType="solid">
        <fgColor rgb="FFFF0000"/>
        <bgColor rgb="FFC00000"/>
      </patternFill>
    </fill>
    <fill>
      <patternFill patternType="solid">
        <fgColor rgb="FFD0CECE"/>
        <bgColor rgb="FFD9D9D9"/>
      </patternFill>
    </fill>
    <fill>
      <patternFill patternType="solid">
        <fgColor rgb="FFD9D9D9"/>
        <bgColor rgb="FFDBDBDB"/>
      </patternFill>
    </fill>
    <fill>
      <patternFill patternType="solid">
        <fgColor rgb="FFFFFF00"/>
        <bgColor rgb="FFFFD966"/>
      </patternFill>
    </fill>
  </fills>
  <borders count="34">
    <border diagonalUp="false" diagonalDown="false">
      <left/>
      <right/>
      <top/>
      <bottom/>
      <diagonal/>
    </border>
    <border diagonalUp="false" diagonalDown="false">
      <left style="thin"/>
      <right style="thin"/>
      <top style="thin"/>
      <bottom style="thin"/>
      <diagonal/>
    </border>
    <border diagonalUp="false" diagonalDown="false">
      <left style="medium"/>
      <right style="medium"/>
      <top style="medium"/>
      <bottom/>
      <diagonal/>
    </border>
    <border diagonalUp="false" diagonalDown="false">
      <left style="medium"/>
      <right/>
      <top style="medium"/>
      <bottom/>
      <diagonal/>
    </border>
    <border diagonalUp="false" diagonalDown="false">
      <left style="medium"/>
      <right style="medium"/>
      <top/>
      <bottom style="medium"/>
      <diagonal/>
    </border>
    <border diagonalUp="false" diagonalDown="false">
      <left style="medium"/>
      <right/>
      <top/>
      <bottom style="medium"/>
      <diagonal/>
    </border>
    <border diagonalUp="false" diagonalDown="false">
      <left style="medium"/>
      <right style="medium"/>
      <top/>
      <bottom/>
      <diagonal/>
    </border>
    <border diagonalUp="false" diagonalDown="false">
      <left style="medium"/>
      <right/>
      <top/>
      <bottom/>
      <diagonal/>
    </border>
    <border diagonalUp="false" diagonalDown="false">
      <left style="thin"/>
      <right style="thin"/>
      <top style="thin"/>
      <bottom/>
      <diagonal/>
    </border>
    <border diagonalUp="false" diagonalDown="false">
      <left/>
      <right/>
      <top style="thin"/>
      <bottom/>
      <diagonal/>
    </border>
    <border diagonalUp="false" diagonalDown="false">
      <left style="thin"/>
      <right/>
      <top style="thin"/>
      <bottom/>
      <diagonal/>
    </border>
    <border diagonalUp="false" diagonalDown="false">
      <left/>
      <right style="thin"/>
      <top style="thin"/>
      <bottom/>
      <diagonal/>
    </border>
    <border diagonalUp="false" diagonalDown="false">
      <left style="thin"/>
      <right/>
      <top/>
      <bottom/>
      <diagonal/>
    </border>
    <border diagonalUp="false" diagonalDown="false">
      <left/>
      <right style="thin"/>
      <top/>
      <bottom/>
      <diagonal/>
    </border>
    <border diagonalUp="false" diagonalDown="false">
      <left style="thin"/>
      <right/>
      <top/>
      <bottom style="thin"/>
      <diagonal/>
    </border>
    <border diagonalUp="false" diagonalDown="false">
      <left/>
      <right/>
      <top/>
      <bottom style="thin"/>
      <diagonal/>
    </border>
    <border diagonalUp="false" diagonalDown="false">
      <left/>
      <right style="thin"/>
      <top/>
      <bottom style="thin"/>
      <diagonal/>
    </border>
    <border diagonalUp="false" diagonalDown="false">
      <left/>
      <right style="medium"/>
      <top style="medium"/>
      <bottom/>
      <diagonal/>
    </border>
    <border diagonalUp="false" diagonalDown="false">
      <left/>
      <right style="medium"/>
      <top/>
      <bottom/>
      <diagonal/>
    </border>
    <border diagonalUp="false" diagonalDown="false">
      <left/>
      <right style="medium"/>
      <top/>
      <bottom style="medium"/>
      <diagonal/>
    </border>
    <border diagonalUp="false" diagonalDown="false">
      <left style="dashed"/>
      <right style="dashed"/>
      <top style="dashed"/>
      <bottom/>
      <diagonal/>
    </border>
    <border diagonalUp="false" diagonalDown="false">
      <left style="dashed"/>
      <right/>
      <top style="dashed"/>
      <bottom/>
      <diagonal/>
    </border>
    <border diagonalUp="false" diagonalDown="false">
      <left style="dashed"/>
      <right style="dashed"/>
      <top/>
      <bottom/>
      <diagonal/>
    </border>
    <border diagonalUp="false" diagonalDown="false">
      <left style="dashed"/>
      <right/>
      <top/>
      <bottom/>
      <diagonal/>
    </border>
    <border diagonalUp="false" diagonalDown="false">
      <left style="dashed"/>
      <right/>
      <top/>
      <bottom style="dashed"/>
      <diagonal/>
    </border>
    <border diagonalUp="false" diagonalDown="false">
      <left style="dashed"/>
      <right style="dashed"/>
      <top/>
      <bottom style="dashed"/>
      <diagonal/>
    </border>
    <border diagonalUp="false" diagonalDown="false">
      <left style="thin"/>
      <right style="thin"/>
      <top/>
      <bottom/>
      <diagonal/>
    </border>
    <border diagonalUp="false" diagonalDown="false">
      <left style="thin"/>
      <right style="thin"/>
      <top/>
      <bottom style="thin"/>
      <diagonal/>
    </border>
    <border diagonalUp="false" diagonalDown="false">
      <left/>
      <right/>
      <top/>
      <bottom style="medium"/>
      <diagonal/>
    </border>
    <border diagonalUp="false" diagonalDown="false">
      <left style="medium"/>
      <right style="medium"/>
      <top style="medium"/>
      <bottom style="medium"/>
      <diagonal/>
    </border>
    <border diagonalUp="false" diagonalDown="false">
      <left/>
      <right/>
      <top style="medium"/>
      <bottom/>
      <diagonal/>
    </border>
    <border diagonalUp="false" diagonalDown="false">
      <left style="thin"/>
      <right/>
      <top style="thin"/>
      <bottom style="thin"/>
      <diagonal/>
    </border>
    <border diagonalUp="false" diagonalDown="false">
      <left/>
      <right/>
      <top style="thin"/>
      <bottom style="thin"/>
      <diagonal/>
    </border>
    <border diagonalUp="false" diagonalDown="false">
      <left/>
      <right style="thin"/>
      <top style="thin"/>
      <bottom style="thin"/>
      <diagonal/>
    </border>
  </borders>
  <cellStyleXfs count="25">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64" fontId="4" fillId="0" borderId="0" applyFont="true" applyBorder="false" applyAlignment="true" applyProtection="false">
      <alignment horizontal="general" vertical="bottom" textRotation="0" wrapText="false" indent="0" shrinkToFit="false"/>
    </xf>
    <xf numFmtId="164" fontId="4" fillId="0" borderId="0" applyFont="true" applyBorder="false" applyAlignment="true" applyProtection="false">
      <alignment horizontal="general" vertical="bottom" textRotation="0" wrapText="false" indent="0" shrinkToFit="false"/>
    </xf>
    <xf numFmtId="164" fontId="4" fillId="0" borderId="0" applyFont="true" applyBorder="false" applyAlignment="true" applyProtection="false">
      <alignment horizontal="general" vertical="bottom" textRotation="0" wrapText="false" indent="0" shrinkToFit="false"/>
    </xf>
    <xf numFmtId="164" fontId="4" fillId="0" borderId="0" applyFont="true" applyBorder="false" applyAlignment="true" applyProtection="false">
      <alignment horizontal="general" vertical="bottom" textRotation="0" wrapText="false" indent="0" shrinkToFit="false"/>
    </xf>
    <xf numFmtId="164" fontId="4" fillId="0" borderId="0" applyFont="true" applyBorder="false" applyAlignment="true" applyProtection="false">
      <alignment horizontal="general" vertical="bottom" textRotation="0" wrapText="false" indent="0" shrinkToFit="false"/>
    </xf>
  </cellStyleXfs>
  <cellXfs count="387">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2" borderId="0" xfId="0" applyFont="false" applyBorder="false" applyAlignment="true" applyProtection="false">
      <alignment horizontal="left" vertical="center" textRotation="0" wrapText="true" indent="0" shrinkToFit="false"/>
      <protection locked="true" hidden="false"/>
    </xf>
    <xf numFmtId="164" fontId="0" fillId="0" borderId="0" xfId="0" applyFont="false" applyBorder="false" applyAlignment="true" applyProtection="false">
      <alignment horizontal="left" vertical="center" textRotation="0" wrapText="true" indent="0" shrinkToFit="false"/>
      <protection locked="true" hidden="false"/>
    </xf>
    <xf numFmtId="164" fontId="0" fillId="0" borderId="0" xfId="0" applyFont="false" applyBorder="false" applyAlignment="true" applyProtection="false">
      <alignment horizontal="center" vertical="center" textRotation="0" wrapText="true" indent="0" shrinkToFit="false"/>
      <protection locked="true" hidden="false"/>
    </xf>
    <xf numFmtId="165" fontId="0" fillId="0" borderId="0" xfId="0" applyFont="false" applyBorder="false" applyAlignment="true" applyProtection="false">
      <alignment horizontal="left" vertical="center" textRotation="0" wrapText="true" indent="0" shrinkToFit="false"/>
      <protection locked="true" hidden="false"/>
    </xf>
    <xf numFmtId="164" fontId="0" fillId="2" borderId="0" xfId="0" applyFont="false" applyBorder="false" applyAlignment="true" applyProtection="false">
      <alignment horizontal="center" vertical="center" textRotation="0" wrapText="true" indent="0" shrinkToFit="false"/>
      <protection locked="true" hidden="false"/>
    </xf>
    <xf numFmtId="165" fontId="0" fillId="2" borderId="0" xfId="0" applyFont="false" applyBorder="false" applyAlignment="true" applyProtection="false">
      <alignment horizontal="left" vertical="center" textRotation="0" wrapText="true" indent="0" shrinkToFit="false"/>
      <protection locked="true" hidden="false"/>
    </xf>
    <xf numFmtId="164" fontId="5" fillId="3" borderId="0" xfId="0" applyFont="true" applyBorder="true" applyAlignment="true" applyProtection="false">
      <alignment horizontal="center" vertical="center" textRotation="0" wrapText="true" indent="0" shrinkToFit="false"/>
      <protection locked="true" hidden="false"/>
    </xf>
    <xf numFmtId="164" fontId="6" fillId="0" borderId="0" xfId="0" applyFont="true" applyBorder="false" applyAlignment="true" applyProtection="false">
      <alignment horizontal="left" vertical="center" textRotation="0" wrapText="true" indent="0" shrinkToFit="false"/>
      <protection locked="true" hidden="false"/>
    </xf>
    <xf numFmtId="165" fontId="0" fillId="2" borderId="0" xfId="0" applyFont="false" applyBorder="false" applyAlignment="true" applyProtection="false">
      <alignment horizontal="center" vertical="center" textRotation="0" wrapText="true" indent="0" shrinkToFit="false"/>
      <protection locked="true" hidden="false"/>
    </xf>
    <xf numFmtId="164" fontId="7" fillId="4" borderId="1" xfId="0" applyFont="true" applyBorder="true" applyAlignment="true" applyProtection="false">
      <alignment horizontal="center" vertical="center" textRotation="0" wrapText="true" indent="0" shrinkToFit="false"/>
      <protection locked="true" hidden="false"/>
    </xf>
    <xf numFmtId="165" fontId="7" fillId="4" borderId="1" xfId="0" applyFont="true" applyBorder="true" applyAlignment="true" applyProtection="false">
      <alignment horizontal="center" vertical="center" textRotation="0" wrapText="true" indent="0" shrinkToFit="false"/>
      <protection locked="true" hidden="false"/>
    </xf>
    <xf numFmtId="164" fontId="8" fillId="2" borderId="0" xfId="0" applyFont="true" applyBorder="false" applyAlignment="true" applyProtection="false">
      <alignment horizontal="center" vertical="center" textRotation="0" wrapText="true" indent="0" shrinkToFit="false"/>
      <protection locked="true" hidden="false"/>
    </xf>
    <xf numFmtId="164" fontId="9" fillId="5" borderId="1" xfId="0" applyFont="true" applyBorder="true" applyAlignment="true" applyProtection="false">
      <alignment horizontal="center" vertical="center" textRotation="0" wrapText="true" indent="0" shrinkToFit="false"/>
      <protection locked="true" hidden="false"/>
    </xf>
    <xf numFmtId="165" fontId="8" fillId="2" borderId="0" xfId="0" applyFont="true" applyBorder="false" applyAlignment="true" applyProtection="false">
      <alignment horizontal="center" vertical="center" textRotation="0" wrapText="true" indent="0" shrinkToFit="false"/>
      <protection locked="true" hidden="false"/>
    </xf>
    <xf numFmtId="165" fontId="0" fillId="2" borderId="0" xfId="0" applyFont="true" applyBorder="false" applyAlignment="true" applyProtection="false">
      <alignment horizontal="left" vertical="center" textRotation="0" wrapText="true" indent="0" shrinkToFit="false"/>
      <protection locked="true" hidden="false"/>
    </xf>
    <xf numFmtId="164" fontId="0" fillId="6" borderId="0" xfId="0" applyFont="false" applyBorder="false" applyAlignment="true" applyProtection="false">
      <alignment horizontal="left" vertical="center" textRotation="0" wrapText="true" indent="0" shrinkToFit="false"/>
      <protection locked="true" hidden="false"/>
    </xf>
    <xf numFmtId="164" fontId="0" fillId="6" borderId="0" xfId="0" applyFont="false" applyBorder="false" applyAlignment="true" applyProtection="false">
      <alignment horizontal="center" vertical="center" textRotation="0" wrapText="true" indent="0" shrinkToFit="false"/>
      <protection locked="true" hidden="false"/>
    </xf>
    <xf numFmtId="165" fontId="0" fillId="6" borderId="0" xfId="0" applyFont="false" applyBorder="false" applyAlignment="true" applyProtection="false">
      <alignment horizontal="left" vertical="center" textRotation="0" wrapText="true" indent="0" shrinkToFit="false"/>
      <protection locked="true" hidden="false"/>
    </xf>
    <xf numFmtId="164" fontId="0" fillId="2" borderId="0" xfId="0" applyFont="true" applyBorder="false" applyAlignment="true" applyProtection="false">
      <alignment horizontal="center" vertical="center" textRotation="0" wrapText="true" indent="0" shrinkToFit="false"/>
      <protection locked="true" hidden="false"/>
    </xf>
    <xf numFmtId="164" fontId="0" fillId="0" borderId="0" xfId="0" applyFont="false" applyBorder="false" applyAlignment="true" applyProtection="false">
      <alignment horizontal="center" vertical="center" textRotation="0" wrapText="false" indent="0" shrinkToFit="false"/>
      <protection locked="true" hidden="false"/>
    </xf>
    <xf numFmtId="164" fontId="0" fillId="2" borderId="0" xfId="0" applyFont="false" applyBorder="false" applyAlignment="false" applyProtection="false">
      <alignment horizontal="general" vertical="bottom" textRotation="0" wrapText="false" indent="0" shrinkToFit="false"/>
      <protection locked="true" hidden="false"/>
    </xf>
    <xf numFmtId="164" fontId="0" fillId="2" borderId="0" xfId="0" applyFont="false" applyBorder="false" applyAlignment="true" applyProtection="false">
      <alignment horizontal="center" vertical="center" textRotation="0" wrapText="false" indent="0" shrinkToFit="false"/>
      <protection locked="true" hidden="false"/>
    </xf>
    <xf numFmtId="165" fontId="10" fillId="3" borderId="1" xfId="0" applyFont="true" applyBorder="true" applyAlignment="true" applyProtection="false">
      <alignment horizontal="center" vertical="center" textRotation="0" wrapText="true" indent="0" shrinkToFit="false"/>
      <protection locked="true" hidden="false"/>
    </xf>
    <xf numFmtId="164" fontId="0" fillId="3" borderId="0" xfId="0" applyFont="false" applyBorder="false" applyAlignment="true" applyProtection="false">
      <alignment horizontal="general" vertical="center" textRotation="0" wrapText="false" indent="0" shrinkToFit="false"/>
      <protection locked="true" hidden="false"/>
    </xf>
    <xf numFmtId="164" fontId="0" fillId="3" borderId="0" xfId="0" applyFont="false" applyBorder="false" applyAlignment="true" applyProtection="false">
      <alignment horizontal="center" vertical="center" textRotation="0" wrapText="false" indent="0" shrinkToFit="false"/>
      <protection locked="true" hidden="false"/>
    </xf>
    <xf numFmtId="164" fontId="11" fillId="0" borderId="0" xfId="0" applyFont="true" applyBorder="false" applyAlignment="true" applyProtection="false">
      <alignment horizontal="general" vertical="center" textRotation="0" wrapText="true" indent="0" shrinkToFit="false"/>
      <protection locked="true" hidden="false"/>
    </xf>
    <xf numFmtId="164" fontId="11" fillId="0" borderId="0" xfId="0" applyFont="true" applyBorder="false" applyAlignment="true" applyProtection="false">
      <alignment horizontal="center" vertical="center" textRotation="0" wrapText="true" indent="0" shrinkToFit="false"/>
      <protection locked="true" hidden="false"/>
    </xf>
    <xf numFmtId="166" fontId="0" fillId="7" borderId="0" xfId="0" applyFont="false" applyBorder="false" applyAlignment="true" applyProtection="false">
      <alignment horizontal="center" vertical="center" textRotation="0" wrapText="true" indent="0" shrinkToFit="false"/>
      <protection locked="true" hidden="false"/>
    </xf>
    <xf numFmtId="164" fontId="0" fillId="0" borderId="0" xfId="0" applyFont="false" applyBorder="false" applyAlignment="true" applyProtection="false">
      <alignment horizontal="right" vertical="center" textRotation="0" wrapText="true" indent="0" shrinkToFit="false"/>
      <protection locked="true" hidden="false"/>
    </xf>
    <xf numFmtId="164" fontId="0" fillId="0" borderId="0" xfId="0" applyFont="false" applyBorder="false" applyAlignment="true" applyProtection="false">
      <alignment horizontal="general" vertical="center" textRotation="0" wrapText="false" indent="0" shrinkToFit="false"/>
      <protection locked="true" hidden="false"/>
    </xf>
    <xf numFmtId="164" fontId="4" fillId="0" borderId="0" xfId="24" applyFont="true" applyBorder="tru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false">
      <alignment horizontal="center" vertical="center" textRotation="0" wrapText="true" indent="0" shrinkToFit="false"/>
      <protection locked="true" hidden="false"/>
    </xf>
    <xf numFmtId="166" fontId="0" fillId="7" borderId="0" xfId="0" applyFont="true" applyBorder="false" applyAlignment="true" applyProtection="false">
      <alignment horizontal="center" vertical="center" textRotation="0" wrapText="true" indent="0" shrinkToFit="false"/>
      <protection locked="true" hidden="false"/>
    </xf>
    <xf numFmtId="164" fontId="0" fillId="0" borderId="0" xfId="0" applyFont="false" applyBorder="false" applyAlignment="true" applyProtection="false">
      <alignment horizontal="general" vertical="center" textRotation="0" wrapText="true" indent="0" shrinkToFit="false"/>
      <protection locked="true" hidden="false"/>
    </xf>
    <xf numFmtId="164" fontId="0" fillId="0" borderId="0" xfId="0" applyFont="true" applyBorder="false" applyAlignment="true" applyProtection="false">
      <alignment horizontal="left" vertical="center" textRotation="0" wrapText="true" indent="0" shrinkToFit="false"/>
      <protection locked="true" hidden="false"/>
    </xf>
    <xf numFmtId="165" fontId="0" fillId="0" borderId="0" xfId="0" applyFont="true" applyBorder="false" applyAlignment="true" applyProtection="false">
      <alignment horizontal="left" vertical="center" textRotation="0" wrapText="true" indent="0" shrinkToFit="false"/>
      <protection locked="true" hidden="false"/>
    </xf>
    <xf numFmtId="164" fontId="0" fillId="0" borderId="0" xfId="0" applyFont="true" applyBorder="false" applyAlignment="true" applyProtection="false">
      <alignment horizontal="right" vertical="center" textRotation="0" wrapText="true" indent="0" shrinkToFit="false"/>
      <protection locked="true" hidden="false"/>
    </xf>
    <xf numFmtId="164" fontId="12" fillId="0" borderId="0" xfId="0" applyFont="true" applyBorder="false" applyAlignment="true" applyProtection="false">
      <alignment horizontal="right" vertical="center" textRotation="0" wrapText="true" indent="0" shrinkToFit="false"/>
      <protection locked="true" hidden="false"/>
    </xf>
    <xf numFmtId="164" fontId="12" fillId="0" borderId="0" xfId="0" applyFont="true" applyBorder="false" applyAlignment="true" applyProtection="false">
      <alignment horizontal="left" vertical="center" textRotation="0" wrapText="true" indent="0" shrinkToFit="false"/>
      <protection locked="true" hidden="false"/>
    </xf>
    <xf numFmtId="164" fontId="0" fillId="5" borderId="0" xfId="0" applyFont="false" applyBorder="false" applyAlignment="true" applyProtection="false">
      <alignment horizontal="left" vertical="center" textRotation="0" wrapText="true" indent="0" shrinkToFit="false"/>
      <protection locked="true" hidden="false"/>
    </xf>
    <xf numFmtId="164" fontId="0" fillId="5" borderId="0" xfId="0" applyFont="true" applyBorder="false" applyAlignment="true" applyProtection="false">
      <alignment horizontal="center" vertical="center" textRotation="0" wrapText="true" indent="0" shrinkToFit="false"/>
      <protection locked="true" hidden="false"/>
    </xf>
    <xf numFmtId="164" fontId="0" fillId="5" borderId="0" xfId="0" applyFont="false" applyBorder="false" applyAlignment="true" applyProtection="false">
      <alignment horizontal="center" vertical="center" textRotation="0" wrapText="true" indent="0" shrinkToFit="false"/>
      <protection locked="true" hidden="false"/>
    </xf>
    <xf numFmtId="164" fontId="0" fillId="5" borderId="0" xfId="0" applyFont="false" applyBorder="false" applyAlignment="true" applyProtection="false">
      <alignment horizontal="center" vertical="center" textRotation="0" wrapText="false" indent="0" shrinkToFit="false"/>
      <protection locked="true" hidden="false"/>
    </xf>
    <xf numFmtId="165" fontId="0" fillId="5" borderId="0" xfId="0" applyFont="false" applyBorder="false" applyAlignment="true" applyProtection="false">
      <alignment horizontal="left" vertical="center" textRotation="0" wrapText="true" indent="0" shrinkToFit="false"/>
      <protection locked="true" hidden="false"/>
    </xf>
    <xf numFmtId="166" fontId="0" fillId="5" borderId="0" xfId="0" applyFont="false" applyBorder="false" applyAlignment="true" applyProtection="false">
      <alignment horizontal="center" vertical="center" textRotation="0" wrapText="true" indent="0" shrinkToFit="false"/>
      <protection locked="true" hidden="false"/>
    </xf>
    <xf numFmtId="164" fontId="0" fillId="5" borderId="0" xfId="0" applyFont="false" applyBorder="false" applyAlignment="true" applyProtection="false">
      <alignment horizontal="right" vertical="center" textRotation="0" wrapText="true" indent="0" shrinkToFit="false"/>
      <protection locked="true" hidden="false"/>
    </xf>
    <xf numFmtId="164" fontId="0" fillId="5" borderId="0" xfId="0" applyFont="false" applyBorder="false" applyAlignment="true" applyProtection="false">
      <alignment horizontal="general" vertical="center" textRotation="0" wrapText="false" indent="0" shrinkToFit="false"/>
      <protection locked="true" hidden="false"/>
    </xf>
    <xf numFmtId="164" fontId="4" fillId="0" borderId="0" xfId="24" applyFont="true" applyBorder="true" applyAlignment="true" applyProtection="true">
      <alignment horizontal="center" vertical="center" textRotation="0" wrapText="true" indent="0" shrinkToFit="false"/>
      <protection locked="true" hidden="false"/>
    </xf>
    <xf numFmtId="166" fontId="0" fillId="7" borderId="0" xfId="0" applyFont="false" applyBorder="false" applyAlignment="true" applyProtection="false">
      <alignment horizontal="center" vertical="center" textRotation="0" wrapText="false" indent="0" shrinkToFit="false"/>
      <protection locked="true" hidden="false"/>
    </xf>
    <xf numFmtId="164" fontId="0" fillId="8" borderId="0" xfId="0" applyFont="false" applyBorder="false" applyAlignment="true" applyProtection="false">
      <alignment horizontal="left" vertical="center" textRotation="0" wrapText="true" indent="0" shrinkToFit="false"/>
      <protection locked="true" hidden="false"/>
    </xf>
    <xf numFmtId="164" fontId="0" fillId="8" borderId="0" xfId="0" applyFont="false" applyBorder="false" applyAlignment="true" applyProtection="false">
      <alignment horizontal="general" vertical="center" textRotation="0" wrapText="false" indent="0" shrinkToFit="false"/>
      <protection locked="true" hidden="false"/>
    </xf>
    <xf numFmtId="164" fontId="0" fillId="8" borderId="0" xfId="0" applyFont="false" applyBorder="false" applyAlignment="true" applyProtection="false">
      <alignment horizontal="center" vertical="center" textRotation="0" wrapText="false" indent="0" shrinkToFit="false"/>
      <protection locked="true" hidden="false"/>
    </xf>
    <xf numFmtId="166" fontId="0" fillId="8" borderId="0" xfId="0" applyFont="false" applyBorder="false" applyAlignment="true" applyProtection="false">
      <alignment horizontal="center" vertical="center" textRotation="0" wrapText="false" indent="0" shrinkToFit="false"/>
      <protection locked="true" hidden="false"/>
    </xf>
    <xf numFmtId="164" fontId="0" fillId="0" borderId="0" xfId="0" applyFont="true" applyBorder="false" applyAlignment="true" applyProtection="false">
      <alignment horizontal="center" vertical="center" textRotation="0" wrapText="false" indent="0" shrinkToFit="false"/>
      <protection locked="true" hidden="false"/>
    </xf>
    <xf numFmtId="164" fontId="12" fillId="0" borderId="0" xfId="0" applyFont="true" applyBorder="false" applyAlignment="true" applyProtection="false">
      <alignment horizontal="center" vertical="center" textRotation="0" wrapText="true" indent="0" shrinkToFit="false"/>
      <protection locked="true" hidden="false"/>
    </xf>
    <xf numFmtId="164" fontId="8" fillId="0" borderId="0" xfId="0" applyFont="true" applyBorder="false" applyAlignment="true" applyProtection="false">
      <alignment horizontal="general" vertical="center" textRotation="0" wrapText="true" indent="0" shrinkToFit="false"/>
      <protection locked="true" hidden="false"/>
    </xf>
    <xf numFmtId="164" fontId="8" fillId="0" borderId="0" xfId="0" applyFont="true" applyBorder="false" applyAlignment="true" applyProtection="false">
      <alignment horizontal="center" vertical="center" textRotation="0" wrapText="true" indent="0" shrinkToFit="false"/>
      <protection locked="true" hidden="false"/>
    </xf>
    <xf numFmtId="164" fontId="0" fillId="3" borderId="0" xfId="0" applyFont="false" applyBorder="false" applyAlignment="true" applyProtection="false">
      <alignment horizontal="left" vertical="center" textRotation="0" wrapText="true" indent="0" shrinkToFit="false"/>
      <protection locked="true" hidden="false"/>
    </xf>
    <xf numFmtId="164" fontId="13" fillId="0" borderId="0" xfId="0" applyFont="true" applyBorder="false" applyAlignment="false" applyProtection="false">
      <alignment horizontal="general" vertical="bottom" textRotation="0" wrapText="false" indent="0" shrinkToFit="false"/>
      <protection locked="true" hidden="false"/>
    </xf>
    <xf numFmtId="164" fontId="8" fillId="0" borderId="0" xfId="0" applyFont="true" applyBorder="false" applyAlignment="true" applyProtection="false">
      <alignment horizontal="left" vertical="center" textRotation="0" wrapText="true" indent="0" shrinkToFit="false"/>
      <protection locked="true" hidden="false"/>
    </xf>
    <xf numFmtId="164" fontId="11" fillId="0" borderId="0" xfId="0" applyFont="true" applyBorder="false" applyAlignment="true" applyProtection="false">
      <alignment horizontal="general" vertical="center" textRotation="0" wrapText="false" indent="0" shrinkToFit="false"/>
      <protection locked="true" hidden="false"/>
    </xf>
    <xf numFmtId="167" fontId="0" fillId="0" borderId="0" xfId="0" applyFont="true" applyBorder="false" applyAlignment="true" applyProtection="false">
      <alignment horizontal="left" vertical="center" textRotation="0" wrapText="true" indent="0" shrinkToFit="false"/>
      <protection locked="true" hidden="false"/>
    </xf>
    <xf numFmtId="164" fontId="14" fillId="0" borderId="0" xfId="0" applyFont="true" applyBorder="false" applyAlignment="true" applyProtection="false">
      <alignment horizontal="general" vertical="center" textRotation="0" wrapText="true" indent="0" shrinkToFit="false" readingOrder="1"/>
      <protection locked="true" hidden="false"/>
    </xf>
    <xf numFmtId="164" fontId="15" fillId="0" borderId="0" xfId="0" applyFont="true" applyBorder="false" applyAlignment="true" applyProtection="false">
      <alignment horizontal="left" vertical="center" textRotation="0" wrapText="true" indent="0" shrinkToFit="false"/>
      <protection locked="true" hidden="false"/>
    </xf>
    <xf numFmtId="164" fontId="15" fillId="2" borderId="0" xfId="0" applyFont="true" applyBorder="false" applyAlignment="true" applyProtection="false">
      <alignment horizontal="left" vertical="center" textRotation="0" wrapText="true" indent="0" shrinkToFit="false"/>
      <protection locked="true" hidden="false"/>
    </xf>
    <xf numFmtId="166" fontId="0" fillId="0" borderId="0" xfId="0" applyFont="false" applyBorder="false" applyAlignment="true" applyProtection="false">
      <alignment horizontal="general" vertical="center" textRotation="0" wrapText="false" indent="0" shrinkToFit="false"/>
      <protection locked="true" hidden="false"/>
    </xf>
    <xf numFmtId="164" fontId="0" fillId="8" borderId="0" xfId="0" applyFont="true" applyBorder="false" applyAlignment="true" applyProtection="false">
      <alignment horizontal="left" vertical="center" textRotation="0" wrapText="true" indent="0" shrinkToFit="false"/>
      <protection locked="true" hidden="false"/>
    </xf>
    <xf numFmtId="164" fontId="0" fillId="8" borderId="0" xfId="0" applyFont="true" applyBorder="false" applyAlignment="true" applyProtection="false">
      <alignment horizontal="center" vertical="center" textRotation="0" wrapText="true" indent="0" shrinkToFit="false"/>
      <protection locked="true" hidden="false"/>
    </xf>
    <xf numFmtId="164" fontId="0" fillId="8" borderId="0" xfId="0" applyFont="false" applyBorder="false" applyAlignment="true" applyProtection="false">
      <alignment horizontal="center" vertical="center" textRotation="0" wrapText="true" indent="0" shrinkToFit="false"/>
      <protection locked="true" hidden="false"/>
    </xf>
    <xf numFmtId="164" fontId="16" fillId="8" borderId="0" xfId="0" applyFont="true" applyBorder="false" applyAlignment="true" applyProtection="false">
      <alignment horizontal="center" vertical="center" textRotation="0" wrapText="true" indent="0" shrinkToFit="false"/>
      <protection locked="true" hidden="false"/>
    </xf>
    <xf numFmtId="165" fontId="0" fillId="8" borderId="0" xfId="0" applyFont="false" applyBorder="false" applyAlignment="true" applyProtection="false">
      <alignment horizontal="left" vertical="center" textRotation="0" wrapText="true" indent="0" shrinkToFit="false"/>
      <protection locked="true" hidden="false"/>
    </xf>
    <xf numFmtId="166" fontId="0" fillId="8" borderId="0" xfId="0" applyFont="false" applyBorder="false" applyAlignment="true" applyProtection="false">
      <alignment horizontal="center" vertical="center" textRotation="0" wrapText="true" indent="0" shrinkToFit="false"/>
      <protection locked="true" hidden="false"/>
    </xf>
    <xf numFmtId="164" fontId="8" fillId="8" borderId="0" xfId="0" applyFont="true" applyBorder="false" applyAlignment="true" applyProtection="false">
      <alignment horizontal="general" vertical="center" textRotation="0" wrapText="true" indent="0" shrinkToFit="false"/>
      <protection locked="true" hidden="false"/>
    </xf>
    <xf numFmtId="164" fontId="8" fillId="8" borderId="0" xfId="0" applyFont="true" applyBorder="false" applyAlignment="true" applyProtection="false">
      <alignment horizontal="center" vertical="center" textRotation="0" wrapText="true" indent="0" shrinkToFit="false"/>
      <protection locked="true" hidden="false"/>
    </xf>
    <xf numFmtId="166" fontId="8" fillId="8" borderId="0" xfId="0" applyFont="true" applyBorder="false" applyAlignment="true" applyProtection="false">
      <alignment horizontal="center" vertical="center" textRotation="0" wrapText="true" indent="0" shrinkToFit="false"/>
      <protection locked="true" hidden="false"/>
    </xf>
    <xf numFmtId="164" fontId="13" fillId="3" borderId="0" xfId="0" applyFont="true" applyBorder="false" applyAlignment="true" applyProtection="false">
      <alignment horizontal="general" vertical="center" textRotation="0" wrapText="false" indent="0" shrinkToFit="false"/>
      <protection locked="true" hidden="false"/>
    </xf>
    <xf numFmtId="164" fontId="0" fillId="0" borderId="0" xfId="0" applyFont="false" applyBorder="false" applyAlignment="true" applyProtection="false">
      <alignment horizontal="general" vertical="bottom" textRotation="0" wrapText="true" indent="0" shrinkToFit="false"/>
      <protection locked="true" hidden="false"/>
    </xf>
    <xf numFmtId="164" fontId="0" fillId="2" borderId="0" xfId="0" applyFont="false" applyBorder="false" applyAlignment="true" applyProtection="false">
      <alignment horizontal="general" vertical="bottom" textRotation="0" wrapText="true" indent="0" shrinkToFit="false"/>
      <protection locked="true" hidden="false"/>
    </xf>
    <xf numFmtId="164" fontId="0" fillId="3" borderId="0" xfId="0" applyFont="false" applyBorder="false" applyAlignment="true" applyProtection="false">
      <alignment horizontal="general" vertical="center" textRotation="0" wrapText="true" indent="0" shrinkToFit="false"/>
      <protection locked="true" hidden="false"/>
    </xf>
    <xf numFmtId="164" fontId="0" fillId="5" borderId="0" xfId="0" applyFont="false" applyBorder="false" applyAlignment="true" applyProtection="false">
      <alignment horizontal="general" vertical="center" textRotation="0" wrapText="true" indent="0" shrinkToFit="false"/>
      <protection locked="true" hidden="false"/>
    </xf>
    <xf numFmtId="164" fontId="17" fillId="0" borderId="0" xfId="0" applyFont="true" applyBorder="false" applyAlignment="true" applyProtection="false">
      <alignment horizontal="center" vertical="center" textRotation="0" wrapText="true" indent="0" shrinkToFit="false"/>
      <protection locked="true" hidden="false"/>
    </xf>
    <xf numFmtId="164" fontId="0" fillId="8" borderId="0" xfId="0" applyFont="false" applyBorder="false" applyAlignment="true" applyProtection="false">
      <alignment horizontal="general" vertical="center" textRotation="0" wrapText="true" indent="0" shrinkToFit="false"/>
      <protection locked="true" hidden="false"/>
    </xf>
    <xf numFmtId="164" fontId="8" fillId="8" borderId="0" xfId="0" applyFont="true" applyBorder="false" applyAlignment="true" applyProtection="false">
      <alignment horizontal="general" vertical="center" textRotation="0" wrapText="false" indent="0" shrinkToFit="false"/>
      <protection locked="true" hidden="false"/>
    </xf>
    <xf numFmtId="164" fontId="8" fillId="8" borderId="0" xfId="0" applyFont="true" applyBorder="false" applyAlignment="true" applyProtection="false">
      <alignment horizontal="center" vertical="bottom" textRotation="0" wrapText="false" indent="0" shrinkToFit="false"/>
      <protection locked="true" hidden="false"/>
    </xf>
    <xf numFmtId="164" fontId="8" fillId="8" borderId="0" xfId="0" applyFont="true" applyBorder="false" applyAlignment="true" applyProtection="false">
      <alignment horizontal="center" vertical="bottom" textRotation="0" wrapText="true" indent="0" shrinkToFit="false"/>
      <protection locked="true" hidden="false"/>
    </xf>
    <xf numFmtId="164" fontId="8" fillId="0" borderId="0" xfId="0" applyFont="true" applyBorder="false" applyAlignment="true" applyProtection="false">
      <alignment horizontal="general" vertical="center" textRotation="0" wrapText="false" indent="0" shrinkToFit="false"/>
      <protection locked="true" hidden="false"/>
    </xf>
    <xf numFmtId="164" fontId="0" fillId="0" borderId="0" xfId="0" applyFont="true" applyBorder="false" applyAlignment="true" applyProtection="false">
      <alignment horizontal="general" vertical="center" textRotation="0" wrapText="true" indent="0" shrinkToFit="false"/>
      <protection locked="true" hidden="false"/>
    </xf>
    <xf numFmtId="166" fontId="11" fillId="0" borderId="0" xfId="0" applyFont="true" applyBorder="false" applyAlignment="true" applyProtection="false">
      <alignment horizontal="center" vertical="center" textRotation="0" wrapText="false" indent="0" shrinkToFit="false"/>
      <protection locked="true" hidden="false"/>
    </xf>
    <xf numFmtId="164" fontId="8" fillId="0" borderId="0" xfId="0" applyFont="true" applyBorder="false" applyAlignment="false" applyProtection="false">
      <alignment horizontal="general" vertical="bottom" textRotation="0" wrapText="false" indent="0" shrinkToFit="false"/>
      <protection locked="true" hidden="false"/>
    </xf>
    <xf numFmtId="166" fontId="0" fillId="0" borderId="0" xfId="0" applyFont="false" applyBorder="false" applyAlignment="true" applyProtection="false">
      <alignment horizontal="center" vertical="bottom" textRotation="0" wrapText="false" indent="0" shrinkToFit="false"/>
      <protection locked="true" hidden="false"/>
    </xf>
    <xf numFmtId="167" fontId="0" fillId="0" borderId="0" xfId="0" applyFont="false" applyBorder="false" applyAlignment="false" applyProtection="false">
      <alignment horizontal="general" vertical="bottom" textRotation="0" wrapText="false" indent="0" shrinkToFit="false"/>
      <protection locked="true" hidden="false"/>
    </xf>
    <xf numFmtId="164" fontId="13" fillId="9" borderId="0" xfId="0" applyFont="true" applyBorder="false" applyAlignment="false" applyProtection="false">
      <alignment horizontal="general" vertical="bottom" textRotation="0" wrapText="false" indent="0" shrinkToFit="false"/>
      <protection locked="true" hidden="false"/>
    </xf>
    <xf numFmtId="164" fontId="18" fillId="8" borderId="0" xfId="0" applyFont="true" applyBorder="false" applyAlignment="false" applyProtection="false">
      <alignment horizontal="general" vertical="bottom" textRotation="0" wrapText="false" indent="0" shrinkToFit="false"/>
      <protection locked="true" hidden="false"/>
    </xf>
    <xf numFmtId="164" fontId="19" fillId="8" borderId="0" xfId="0" applyFont="true" applyBorder="false" applyAlignment="false" applyProtection="false">
      <alignment horizontal="general" vertical="bottom" textRotation="0" wrapText="false" indent="0" shrinkToFit="false"/>
      <protection locked="true" hidden="false"/>
    </xf>
    <xf numFmtId="164" fontId="20" fillId="0" borderId="0" xfId="0" applyFont="true" applyBorder="false" applyAlignment="false" applyProtection="false">
      <alignment horizontal="general" vertical="bottom" textRotation="0" wrapText="false" indent="0" shrinkToFit="false"/>
      <protection locked="true" hidden="false"/>
    </xf>
    <xf numFmtId="166" fontId="20" fillId="0" borderId="0" xfId="0" applyFont="true" applyBorder="false" applyAlignment="false" applyProtection="false">
      <alignment horizontal="general" vertical="bottom" textRotation="0" wrapText="false" indent="0" shrinkToFit="false"/>
      <protection locked="true" hidden="false"/>
    </xf>
    <xf numFmtId="166" fontId="21" fillId="0" borderId="0" xfId="0" applyFont="true" applyBorder="false" applyAlignment="false" applyProtection="false">
      <alignment horizontal="general" vertical="bottom" textRotation="0" wrapText="false" indent="0" shrinkToFit="false"/>
      <protection locked="true" hidden="false"/>
    </xf>
    <xf numFmtId="164" fontId="20" fillId="0" borderId="2" xfId="0" applyFont="true" applyBorder="true" applyAlignment="false" applyProtection="false">
      <alignment horizontal="general" vertical="bottom" textRotation="0" wrapText="false" indent="0" shrinkToFit="false"/>
      <protection locked="true" hidden="false"/>
    </xf>
    <xf numFmtId="166" fontId="20" fillId="0" borderId="3" xfId="0" applyFont="true" applyBorder="true" applyAlignment="false" applyProtection="false">
      <alignment horizontal="general" vertical="bottom" textRotation="0" wrapText="false" indent="0" shrinkToFit="false"/>
      <protection locked="true" hidden="false"/>
    </xf>
    <xf numFmtId="166" fontId="20" fillId="0" borderId="2" xfId="0" applyFont="true" applyBorder="true" applyAlignment="false" applyProtection="false">
      <alignment horizontal="general" vertical="bottom" textRotation="0" wrapText="false" indent="0" shrinkToFit="false"/>
      <protection locked="true" hidden="false"/>
    </xf>
    <xf numFmtId="164" fontId="20" fillId="0" borderId="4" xfId="0" applyFont="true" applyBorder="true" applyAlignment="false" applyProtection="false">
      <alignment horizontal="general" vertical="bottom" textRotation="0" wrapText="false" indent="0" shrinkToFit="false"/>
      <protection locked="true" hidden="false"/>
    </xf>
    <xf numFmtId="166" fontId="20" fillId="0" borderId="5" xfId="0" applyFont="true" applyBorder="true" applyAlignment="false" applyProtection="false">
      <alignment horizontal="general" vertical="bottom" textRotation="0" wrapText="false" indent="0" shrinkToFit="false"/>
      <protection locked="true" hidden="false"/>
    </xf>
    <xf numFmtId="166" fontId="20" fillId="0" borderId="4" xfId="0" applyFont="true" applyBorder="true" applyAlignment="false" applyProtection="false">
      <alignment horizontal="general" vertical="bottom" textRotation="0" wrapText="false" indent="0" shrinkToFit="false"/>
      <protection locked="true" hidden="false"/>
    </xf>
    <xf numFmtId="164" fontId="20" fillId="0" borderId="6" xfId="0" applyFont="true" applyBorder="true" applyAlignment="false" applyProtection="false">
      <alignment horizontal="general" vertical="bottom" textRotation="0" wrapText="false" indent="0" shrinkToFit="false"/>
      <protection locked="true" hidden="false"/>
    </xf>
    <xf numFmtId="166" fontId="20" fillId="0" borderId="7" xfId="0" applyFont="true" applyBorder="true" applyAlignment="false" applyProtection="false">
      <alignment horizontal="general" vertical="bottom" textRotation="0" wrapText="false" indent="0" shrinkToFit="false"/>
      <protection locked="true" hidden="false"/>
    </xf>
    <xf numFmtId="166" fontId="20" fillId="0" borderId="6" xfId="0" applyFont="true" applyBorder="true" applyAlignment="false" applyProtection="false">
      <alignment horizontal="general" vertical="bottom" textRotation="0" wrapText="false" indent="0" shrinkToFit="false"/>
      <protection locked="true" hidden="false"/>
    </xf>
    <xf numFmtId="164" fontId="0" fillId="0" borderId="0" xfId="0" applyFont="true" applyBorder="true" applyAlignment="true" applyProtection="false">
      <alignment horizontal="center" vertical="bottom" textRotation="0" wrapText="true" indent="0" shrinkToFit="false"/>
      <protection locked="true" hidden="false"/>
    </xf>
    <xf numFmtId="164" fontId="22" fillId="0" borderId="0" xfId="0" applyFont="true" applyBorder="false" applyAlignment="false" applyProtection="false">
      <alignment horizontal="general" vertical="bottom" textRotation="0" wrapText="false" indent="0" shrinkToFit="false"/>
      <protection locked="true" hidden="false"/>
    </xf>
    <xf numFmtId="164" fontId="18" fillId="10" borderId="0" xfId="0" applyFont="true" applyBorder="false" applyAlignment="false" applyProtection="false">
      <alignment horizontal="general" vertical="bottom" textRotation="0" wrapText="false" indent="0" shrinkToFit="false"/>
      <protection locked="true" hidden="false"/>
    </xf>
    <xf numFmtId="164" fontId="0" fillId="0" borderId="0" xfId="0" applyFont="true" applyBorder="false" applyAlignment="true" applyProtection="false">
      <alignment horizontal="right" vertical="bottom" textRotation="0" wrapText="false" indent="0" shrinkToFit="false"/>
      <protection locked="true" hidden="false"/>
    </xf>
    <xf numFmtId="164" fontId="8" fillId="8" borderId="0" xfId="0" applyFont="true" applyBorder="false" applyAlignment="false" applyProtection="false">
      <alignment horizontal="general" vertical="bottom" textRotation="0" wrapText="false" indent="0" shrinkToFit="false"/>
      <protection locked="true" hidden="false"/>
    </xf>
    <xf numFmtId="164" fontId="23" fillId="0" borderId="0" xfId="0" applyFont="true" applyBorder="false" applyAlignment="false" applyProtection="false">
      <alignment horizontal="general" vertical="bottom" textRotation="0" wrapText="false" indent="0" shrinkToFit="false"/>
      <protection locked="true" hidden="false"/>
    </xf>
    <xf numFmtId="164" fontId="0" fillId="8" borderId="0" xfId="0" applyFont="false" applyBorder="false" applyAlignment="false" applyProtection="false">
      <alignment horizontal="general" vertical="bottom" textRotation="0" wrapText="false" indent="0" shrinkToFit="false"/>
      <protection locked="true" hidden="false"/>
    </xf>
    <xf numFmtId="164" fontId="0" fillId="0" borderId="2" xfId="0" applyFont="true" applyBorder="true" applyAlignment="false" applyProtection="false">
      <alignment horizontal="general" vertical="bottom" textRotation="0" wrapText="false" indent="0" shrinkToFit="false"/>
      <protection locked="true" hidden="false"/>
    </xf>
    <xf numFmtId="166" fontId="0" fillId="0" borderId="0" xfId="0" applyFont="false" applyBorder="false" applyAlignment="false" applyProtection="false">
      <alignment horizontal="general" vertical="bottom" textRotation="0" wrapText="false" indent="0" shrinkToFit="false"/>
      <protection locked="true" hidden="false"/>
    </xf>
    <xf numFmtId="166" fontId="23" fillId="0" borderId="0" xfId="0" applyFont="true" applyBorder="false" applyAlignment="false" applyProtection="false">
      <alignment horizontal="general" vertical="bottom" textRotation="0" wrapText="false" indent="0" shrinkToFit="false"/>
      <protection locked="true" hidden="false"/>
    </xf>
    <xf numFmtId="166" fontId="0" fillId="0" borderId="6" xfId="0" applyFont="false" applyBorder="true" applyAlignment="false" applyProtection="false">
      <alignment horizontal="general" vertical="bottom" textRotation="0" wrapText="false" indent="0" shrinkToFit="false"/>
      <protection locked="true" hidden="false"/>
    </xf>
    <xf numFmtId="166" fontId="0" fillId="0" borderId="4" xfId="0" applyFont="false" applyBorder="true" applyAlignment="false" applyProtection="false">
      <alignment horizontal="general" vertical="bottom" textRotation="0" wrapText="false" indent="0" shrinkToFit="false"/>
      <protection locked="true" hidden="false"/>
    </xf>
    <xf numFmtId="164" fontId="12" fillId="0" borderId="0" xfId="0" applyFont="true" applyBorder="false" applyAlignment="false" applyProtection="false">
      <alignment horizontal="general" vertical="bottom" textRotation="0" wrapText="false" indent="0" shrinkToFit="false"/>
      <protection locked="true" hidden="false"/>
    </xf>
    <xf numFmtId="164" fontId="13" fillId="11" borderId="0" xfId="0" applyFont="true" applyBorder="true" applyAlignment="true" applyProtection="false">
      <alignment horizontal="center" vertical="bottom" textRotation="0" wrapText="false" indent="0" shrinkToFit="false"/>
      <protection locked="true" hidden="false"/>
    </xf>
    <xf numFmtId="164" fontId="0" fillId="12" borderId="8" xfId="0" applyFont="true" applyBorder="true" applyAlignment="true" applyProtection="false">
      <alignment horizontal="center" vertical="bottom" textRotation="0" wrapText="false" indent="0" shrinkToFit="false"/>
      <protection locked="true" hidden="false"/>
    </xf>
    <xf numFmtId="164" fontId="0" fillId="13" borderId="8" xfId="0" applyFont="true" applyBorder="true" applyAlignment="true" applyProtection="false">
      <alignment horizontal="center" vertical="bottom" textRotation="0" wrapText="false" indent="0" shrinkToFit="false"/>
      <protection locked="true" hidden="false"/>
    </xf>
    <xf numFmtId="164" fontId="13" fillId="3" borderId="8" xfId="0" applyFont="true" applyBorder="true" applyAlignment="true" applyProtection="false">
      <alignment horizontal="center" vertical="bottom" textRotation="0" wrapText="false" indent="0" shrinkToFit="false"/>
      <protection locked="true" hidden="false"/>
    </xf>
    <xf numFmtId="164" fontId="8" fillId="0" borderId="0" xfId="0" applyFont="true" applyBorder="false" applyAlignment="true" applyProtection="false">
      <alignment horizontal="general" vertical="bottom" textRotation="0" wrapText="true" indent="0" shrinkToFit="false"/>
      <protection locked="true" hidden="false"/>
    </xf>
    <xf numFmtId="164" fontId="24" fillId="5" borderId="9" xfId="0" applyFont="true" applyBorder="true" applyAlignment="true" applyProtection="false">
      <alignment horizontal="right" vertical="center" textRotation="0" wrapText="true" indent="0" shrinkToFit="false"/>
      <protection locked="true" hidden="false"/>
    </xf>
    <xf numFmtId="164" fontId="24" fillId="5" borderId="10" xfId="0" applyFont="true" applyBorder="true" applyAlignment="true" applyProtection="false">
      <alignment horizontal="right" vertical="center" textRotation="0" wrapText="true" indent="0" shrinkToFit="false"/>
      <protection locked="true" hidden="false"/>
    </xf>
    <xf numFmtId="164" fontId="24" fillId="5" borderId="9" xfId="0" applyFont="true" applyBorder="true" applyAlignment="true" applyProtection="false">
      <alignment horizontal="center" vertical="center" textRotation="0" wrapText="true" indent="0" shrinkToFit="false"/>
      <protection locked="true" hidden="false"/>
    </xf>
    <xf numFmtId="164" fontId="8" fillId="5" borderId="9" xfId="0" applyFont="true" applyBorder="true" applyAlignment="true" applyProtection="false">
      <alignment horizontal="center" vertical="center" textRotation="0" wrapText="true" indent="0" shrinkToFit="false"/>
      <protection locked="true" hidden="false"/>
    </xf>
    <xf numFmtId="164" fontId="24" fillId="5" borderId="11" xfId="0" applyFont="true" applyBorder="true" applyAlignment="true" applyProtection="false">
      <alignment horizontal="center" vertical="center" textRotation="0" wrapText="true" indent="0" shrinkToFit="false"/>
      <protection locked="true" hidden="false"/>
    </xf>
    <xf numFmtId="164" fontId="24" fillId="5" borderId="0" xfId="0" applyFont="true" applyBorder="false" applyAlignment="true" applyProtection="false">
      <alignment horizontal="center" vertical="center" textRotation="0" wrapText="true" indent="0" shrinkToFit="false"/>
      <protection locked="true" hidden="false"/>
    </xf>
    <xf numFmtId="164" fontId="24" fillId="5" borderId="12" xfId="0" applyFont="true" applyBorder="true" applyAlignment="true" applyProtection="false">
      <alignment horizontal="center" vertical="center" textRotation="0" wrapText="true" indent="0" shrinkToFit="false"/>
      <protection locked="true" hidden="false"/>
    </xf>
    <xf numFmtId="164" fontId="8" fillId="5" borderId="0" xfId="0" applyFont="true" applyBorder="false" applyAlignment="true" applyProtection="false">
      <alignment horizontal="center" vertical="center" textRotation="0" wrapText="true" indent="0" shrinkToFit="false"/>
      <protection locked="true" hidden="false"/>
    </xf>
    <xf numFmtId="164" fontId="24" fillId="5" borderId="13" xfId="0" applyFont="true" applyBorder="true" applyAlignment="true" applyProtection="false">
      <alignment horizontal="center" vertical="center" textRotation="0" wrapText="true" indent="0" shrinkToFit="false"/>
      <protection locked="true" hidden="false"/>
    </xf>
    <xf numFmtId="166" fontId="14" fillId="0" borderId="0" xfId="0" applyFont="true" applyBorder="false" applyAlignment="true" applyProtection="false">
      <alignment horizontal="right" vertical="bottom" textRotation="0" wrapText="true" indent="0" shrinkToFit="false" readingOrder="1"/>
      <protection locked="true" hidden="false"/>
    </xf>
    <xf numFmtId="166" fontId="14" fillId="0" borderId="12" xfId="0" applyFont="true" applyBorder="true" applyAlignment="true" applyProtection="false">
      <alignment horizontal="right" vertical="bottom" textRotation="0" wrapText="true" indent="0" shrinkToFit="false" readingOrder="1"/>
      <protection locked="true" hidden="false"/>
    </xf>
    <xf numFmtId="166" fontId="14" fillId="0" borderId="0" xfId="0" applyFont="true" applyBorder="false" applyAlignment="true" applyProtection="false">
      <alignment horizontal="general" vertical="bottom" textRotation="0" wrapText="true" indent="0" shrinkToFit="false" readingOrder="1"/>
      <protection locked="true" hidden="false"/>
    </xf>
    <xf numFmtId="168" fontId="0" fillId="0" borderId="0" xfId="0" applyFont="false" applyBorder="false" applyAlignment="true" applyProtection="false">
      <alignment horizontal="left" vertical="center" textRotation="0" wrapText="true" indent="0" shrinkToFit="false"/>
      <protection locked="true" hidden="false"/>
    </xf>
    <xf numFmtId="168" fontId="14" fillId="0" borderId="0" xfId="0" applyFont="true" applyBorder="false" applyAlignment="true" applyProtection="false">
      <alignment horizontal="general" vertical="bottom" textRotation="0" wrapText="true" indent="0" shrinkToFit="false" readingOrder="1"/>
      <protection locked="true" hidden="false"/>
    </xf>
    <xf numFmtId="168" fontId="14" fillId="0" borderId="13" xfId="0" applyFont="true" applyBorder="true" applyAlignment="true" applyProtection="false">
      <alignment horizontal="general" vertical="bottom" textRotation="0" wrapText="true" indent="0" shrinkToFit="false" readingOrder="1"/>
      <protection locked="true" hidden="false"/>
    </xf>
    <xf numFmtId="166" fontId="14" fillId="0" borderId="12" xfId="0" applyFont="true" applyBorder="true" applyAlignment="true" applyProtection="false">
      <alignment horizontal="general" vertical="bottom" textRotation="0" wrapText="true" indent="0" shrinkToFit="false" readingOrder="1"/>
      <protection locked="true" hidden="false"/>
    </xf>
    <xf numFmtId="168" fontId="0" fillId="0" borderId="13" xfId="0" applyFont="false" applyBorder="true" applyAlignment="true" applyProtection="false">
      <alignment horizontal="left" vertical="center" textRotation="0" wrapText="true" indent="0" shrinkToFit="false"/>
      <protection locked="true" hidden="false"/>
    </xf>
    <xf numFmtId="166" fontId="0" fillId="0" borderId="0" xfId="0" applyFont="false" applyBorder="false" applyAlignment="true" applyProtection="false">
      <alignment horizontal="left" vertical="center" textRotation="0" wrapText="true" indent="0" shrinkToFit="false"/>
      <protection locked="true" hidden="false"/>
    </xf>
    <xf numFmtId="166" fontId="0" fillId="0" borderId="12" xfId="0" applyFont="false" applyBorder="true" applyAlignment="true" applyProtection="false">
      <alignment horizontal="left" vertical="center" textRotation="0" wrapText="true" indent="0" shrinkToFit="false"/>
      <protection locked="true" hidden="false"/>
    </xf>
    <xf numFmtId="164" fontId="0" fillId="0" borderId="13" xfId="0" applyFont="true" applyBorder="true" applyAlignment="true" applyProtection="false">
      <alignment horizontal="left" vertical="center" textRotation="0" wrapText="true" indent="0" shrinkToFit="false"/>
      <protection locked="true" hidden="false"/>
    </xf>
    <xf numFmtId="164" fontId="0" fillId="0" borderId="12" xfId="0" applyFont="true" applyBorder="true" applyAlignment="true" applyProtection="false">
      <alignment horizontal="general" vertical="bottom" textRotation="0" wrapText="true" indent="0" shrinkToFit="false"/>
      <protection locked="true" hidden="false"/>
    </xf>
    <xf numFmtId="169" fontId="14" fillId="0" borderId="0" xfId="0" applyFont="true" applyBorder="false" applyAlignment="true" applyProtection="false">
      <alignment horizontal="general" vertical="bottom" textRotation="0" wrapText="true" indent="0" shrinkToFit="false" readingOrder="1"/>
      <protection locked="true" hidden="false"/>
    </xf>
    <xf numFmtId="164" fontId="0" fillId="8" borderId="0" xfId="0" applyFont="false" applyBorder="false" applyAlignment="true" applyProtection="false">
      <alignment horizontal="general" vertical="bottom" textRotation="0" wrapText="true" indent="0" shrinkToFit="false"/>
      <protection locked="true" hidden="false"/>
    </xf>
    <xf numFmtId="164" fontId="8" fillId="8" borderId="0" xfId="0" applyFont="true" applyBorder="false" applyAlignment="true" applyProtection="false">
      <alignment horizontal="general" vertical="bottom" textRotation="0" wrapText="true" indent="0" shrinkToFit="false"/>
      <protection locked="true" hidden="false"/>
    </xf>
    <xf numFmtId="164" fontId="25" fillId="8" borderId="0" xfId="0" applyFont="true" applyBorder="false" applyAlignment="true" applyProtection="false">
      <alignment horizontal="right" vertical="center" textRotation="0" wrapText="true" indent="0" shrinkToFit="false"/>
      <protection locked="true" hidden="false"/>
    </xf>
    <xf numFmtId="164" fontId="25" fillId="8" borderId="12" xfId="0" applyFont="true" applyBorder="true" applyAlignment="true" applyProtection="false">
      <alignment horizontal="right" vertical="center" textRotation="0" wrapText="true" indent="0" shrinkToFit="false"/>
      <protection locked="true" hidden="false"/>
    </xf>
    <xf numFmtId="164" fontId="25" fillId="8" borderId="0" xfId="0" applyFont="true" applyBorder="false" applyAlignment="true" applyProtection="false">
      <alignment horizontal="center" vertical="center" textRotation="0" wrapText="true" indent="0" shrinkToFit="false"/>
      <protection locked="true" hidden="false"/>
    </xf>
    <xf numFmtId="164" fontId="25" fillId="8" borderId="13" xfId="0" applyFont="true" applyBorder="true" applyAlignment="true" applyProtection="false">
      <alignment horizontal="center" vertical="center" textRotation="0" wrapText="true" indent="0" shrinkToFit="false"/>
      <protection locked="true" hidden="false"/>
    </xf>
    <xf numFmtId="164" fontId="25" fillId="8" borderId="12" xfId="0" applyFont="true" applyBorder="true" applyAlignment="true" applyProtection="false">
      <alignment horizontal="center" vertical="center" textRotation="0" wrapText="true" indent="0" shrinkToFit="false"/>
      <protection locked="true" hidden="false"/>
    </xf>
    <xf numFmtId="164" fontId="14" fillId="0" borderId="0" xfId="0" applyFont="true" applyBorder="false" applyAlignment="true" applyProtection="false">
      <alignment horizontal="general" vertical="bottom" textRotation="0" wrapText="true" indent="0" shrinkToFit="false" readingOrder="1"/>
      <protection locked="true" hidden="false"/>
    </xf>
    <xf numFmtId="170" fontId="14" fillId="0" borderId="0" xfId="0" applyFont="true" applyBorder="false" applyAlignment="true" applyProtection="false">
      <alignment horizontal="general" vertical="bottom" textRotation="0" wrapText="true" indent="0" shrinkToFit="false"/>
      <protection locked="true" hidden="false"/>
    </xf>
    <xf numFmtId="164" fontId="26" fillId="8" borderId="10" xfId="0" applyFont="true" applyBorder="true" applyAlignment="true" applyProtection="false">
      <alignment horizontal="general" vertical="bottom" textRotation="0" wrapText="true" indent="0" shrinkToFit="false"/>
      <protection locked="true" hidden="false"/>
    </xf>
    <xf numFmtId="164" fontId="26" fillId="8" borderId="9" xfId="0" applyFont="true" applyBorder="true" applyAlignment="true" applyProtection="false">
      <alignment horizontal="general" vertical="bottom" textRotation="0" wrapText="true" indent="0" shrinkToFit="false"/>
      <protection locked="true" hidden="false"/>
    </xf>
    <xf numFmtId="164" fontId="11" fillId="8" borderId="9" xfId="0" applyFont="true" applyBorder="true" applyAlignment="true" applyProtection="false">
      <alignment horizontal="general" vertical="bottom" textRotation="0" wrapText="true" indent="0" shrinkToFit="false"/>
      <protection locked="true" hidden="false"/>
    </xf>
    <xf numFmtId="164" fontId="0" fillId="8" borderId="11" xfId="0" applyFont="false" applyBorder="true" applyAlignment="true" applyProtection="false">
      <alignment horizontal="general" vertical="bottom" textRotation="0" wrapText="true" indent="0" shrinkToFit="false"/>
      <protection locked="true" hidden="false"/>
    </xf>
    <xf numFmtId="164" fontId="14" fillId="0" borderId="0" xfId="0" applyFont="true" applyBorder="false" applyAlignment="true" applyProtection="false">
      <alignment horizontal="general" vertical="bottom" textRotation="0" wrapText="false" indent="0" shrinkToFit="false" readingOrder="1"/>
      <protection locked="true" hidden="false"/>
    </xf>
    <xf numFmtId="164" fontId="0" fillId="0" borderId="13" xfId="0" applyFont="false" applyBorder="true" applyAlignment="true" applyProtection="false">
      <alignment horizontal="general" vertical="bottom" textRotation="0" wrapText="true" indent="0" shrinkToFit="false"/>
      <protection locked="true" hidden="false"/>
    </xf>
    <xf numFmtId="164" fontId="14" fillId="0" borderId="12" xfId="0" applyFont="true" applyBorder="true" applyAlignment="false" applyProtection="false">
      <alignment horizontal="general" vertical="bottom" textRotation="0" wrapText="false" indent="0" shrinkToFit="false"/>
      <protection locked="true" hidden="false"/>
    </xf>
    <xf numFmtId="164" fontId="8" fillId="0" borderId="13" xfId="0" applyFont="true" applyBorder="true" applyAlignment="true" applyProtection="false">
      <alignment horizontal="general" vertical="bottom" textRotation="0" wrapText="true" indent="0" shrinkToFit="false"/>
      <protection locked="true" hidden="false"/>
    </xf>
    <xf numFmtId="164" fontId="0" fillId="0" borderId="14" xfId="0" applyFont="false" applyBorder="true" applyAlignment="true" applyProtection="false">
      <alignment horizontal="general" vertical="bottom" textRotation="0" wrapText="true" indent="0" shrinkToFit="false"/>
      <protection locked="true" hidden="false"/>
    </xf>
    <xf numFmtId="164" fontId="0" fillId="0" borderId="15" xfId="0" applyFont="false" applyBorder="true" applyAlignment="true" applyProtection="false">
      <alignment horizontal="general" vertical="bottom" textRotation="0" wrapText="true" indent="0" shrinkToFit="false"/>
      <protection locked="true" hidden="false"/>
    </xf>
    <xf numFmtId="164" fontId="14" fillId="0" borderId="15" xfId="0" applyFont="true" applyBorder="true" applyAlignment="true" applyProtection="false">
      <alignment horizontal="general" vertical="bottom" textRotation="0" wrapText="false" indent="0" shrinkToFit="false" readingOrder="1"/>
      <protection locked="true" hidden="false"/>
    </xf>
    <xf numFmtId="164" fontId="0" fillId="0" borderId="16" xfId="0" applyFont="false" applyBorder="true" applyAlignment="true" applyProtection="false">
      <alignment horizontal="general" vertical="bottom" textRotation="0" wrapText="true" indent="0" shrinkToFit="false"/>
      <protection locked="true" hidden="false"/>
    </xf>
    <xf numFmtId="164" fontId="14" fillId="8" borderId="10" xfId="0" applyFont="true" applyBorder="true" applyAlignment="true" applyProtection="false">
      <alignment horizontal="general" vertical="bottom" textRotation="0" wrapText="false" indent="0" shrinkToFit="false" readingOrder="1"/>
      <protection locked="true" hidden="false"/>
    </xf>
    <xf numFmtId="164" fontId="0" fillId="8" borderId="9" xfId="0" applyFont="true" applyBorder="true" applyAlignment="true" applyProtection="false">
      <alignment horizontal="general" vertical="bottom" textRotation="0" wrapText="true" indent="0" shrinkToFit="false"/>
      <protection locked="true" hidden="false"/>
    </xf>
    <xf numFmtId="164" fontId="27" fillId="0" borderId="13" xfId="0" applyFont="true" applyBorder="true" applyAlignment="true" applyProtection="false">
      <alignment horizontal="left" vertical="center" textRotation="0" wrapText="true" indent="0" shrinkToFit="false"/>
      <protection locked="true" hidden="false"/>
    </xf>
    <xf numFmtId="164" fontId="28" fillId="0" borderId="12" xfId="0" applyFont="true" applyBorder="true" applyAlignment="true" applyProtection="false">
      <alignment horizontal="general" vertical="bottom" textRotation="0" wrapText="false" indent="0" shrinkToFit="false" readingOrder="1"/>
      <protection locked="true" hidden="false"/>
    </xf>
    <xf numFmtId="166" fontId="0" fillId="0" borderId="14" xfId="0" applyFont="false" applyBorder="true" applyAlignment="true" applyProtection="false">
      <alignment horizontal="left" vertical="center" textRotation="0" wrapText="true" indent="0" shrinkToFit="false"/>
      <protection locked="true" hidden="false"/>
    </xf>
    <xf numFmtId="166" fontId="0" fillId="0" borderId="15" xfId="0" applyFont="false" applyBorder="true" applyAlignment="true" applyProtection="false">
      <alignment horizontal="left" vertical="center" textRotation="0" wrapText="true" indent="0" shrinkToFit="false"/>
      <protection locked="true" hidden="false"/>
    </xf>
    <xf numFmtId="164" fontId="0" fillId="0" borderId="15" xfId="0" applyFont="false" applyBorder="true" applyAlignment="true" applyProtection="false">
      <alignment horizontal="left" vertical="center" textRotation="0" wrapText="true" indent="0" shrinkToFit="false"/>
      <protection locked="true" hidden="false"/>
    </xf>
    <xf numFmtId="168" fontId="0" fillId="0" borderId="15" xfId="0" applyFont="false" applyBorder="true" applyAlignment="true" applyProtection="false">
      <alignment horizontal="left" vertical="center" textRotation="0" wrapText="true" indent="0" shrinkToFit="false"/>
      <protection locked="true" hidden="false"/>
    </xf>
    <xf numFmtId="164" fontId="0" fillId="0" borderId="16" xfId="0" applyFont="true" applyBorder="true" applyAlignment="true" applyProtection="false">
      <alignment horizontal="left" vertical="center" textRotation="0" wrapText="true" indent="0" shrinkToFit="false"/>
      <protection locked="true" hidden="false"/>
    </xf>
    <xf numFmtId="164" fontId="28" fillId="0" borderId="14" xfId="0" applyFont="true" applyBorder="true" applyAlignment="true" applyProtection="false">
      <alignment horizontal="general" vertical="bottom" textRotation="0" wrapText="false" indent="0" shrinkToFit="false" readingOrder="1"/>
      <protection locked="true" hidden="false"/>
    </xf>
    <xf numFmtId="164" fontId="29" fillId="0" borderId="1" xfId="0" applyFont="true" applyBorder="true" applyAlignment="false" applyProtection="false">
      <alignment horizontal="general" vertical="bottom" textRotation="0" wrapText="false" indent="0" shrinkToFit="false"/>
      <protection locked="true" hidden="false"/>
    </xf>
    <xf numFmtId="164" fontId="29" fillId="14" borderId="1" xfId="0" applyFont="true" applyBorder="true" applyAlignment="false" applyProtection="false">
      <alignment horizontal="general" vertical="bottom" textRotation="0" wrapText="false" indent="0" shrinkToFit="false"/>
      <protection locked="true" hidden="false"/>
    </xf>
    <xf numFmtId="164" fontId="29" fillId="15" borderId="1" xfId="0" applyFont="true" applyBorder="true" applyAlignment="false" applyProtection="false">
      <alignment horizontal="general" vertical="bottom" textRotation="0" wrapText="false" indent="0" shrinkToFit="false"/>
      <protection locked="true" hidden="false"/>
    </xf>
    <xf numFmtId="164" fontId="8" fillId="16" borderId="0" xfId="0" applyFont="true" applyBorder="true" applyAlignment="true" applyProtection="false">
      <alignment horizontal="center" vertical="bottom" textRotation="0" wrapText="false" indent="0" shrinkToFit="false"/>
      <protection locked="true" hidden="false"/>
    </xf>
    <xf numFmtId="164" fontId="0" fillId="17" borderId="0" xfId="0" applyFont="true" applyBorder="false" applyAlignment="false" applyProtection="false">
      <alignment horizontal="general" vertical="bottom" textRotation="0" wrapText="false" indent="0" shrinkToFit="false"/>
      <protection locked="true" hidden="false"/>
    </xf>
    <xf numFmtId="164" fontId="13" fillId="18" borderId="0" xfId="0" applyFont="true" applyBorder="false" applyAlignment="true" applyProtection="false">
      <alignment horizontal="left" vertical="top" textRotation="0" wrapText="false" indent="0" shrinkToFit="false"/>
      <protection locked="true" hidden="false"/>
    </xf>
    <xf numFmtId="164" fontId="9" fillId="0" borderId="0" xfId="0" applyFont="true" applyBorder="false" applyAlignment="true" applyProtection="false">
      <alignment horizontal="right" vertical="bottom" textRotation="0" wrapText="false" indent="0" shrinkToFit="false"/>
      <protection locked="true" hidden="false"/>
    </xf>
    <xf numFmtId="164" fontId="13" fillId="18" borderId="0" xfId="0" applyFont="true" applyBorder="false" applyAlignment="false" applyProtection="false">
      <alignment horizontal="general" vertical="bottom" textRotation="0" wrapText="false" indent="0" shrinkToFit="false"/>
      <protection locked="true" hidden="false"/>
    </xf>
    <xf numFmtId="164" fontId="25" fillId="0" borderId="0" xfId="0" applyFont="true" applyBorder="false" applyAlignment="true" applyProtection="false">
      <alignment horizontal="center" vertical="bottom" textRotation="0" wrapText="true" indent="0" shrinkToFit="false"/>
      <protection locked="true" hidden="false"/>
    </xf>
    <xf numFmtId="164" fontId="24" fillId="8" borderId="0" xfId="0" applyFont="true" applyBorder="false" applyAlignment="true" applyProtection="false">
      <alignment horizontal="center" vertical="bottom" textRotation="0" wrapText="true" indent="0" shrinkToFit="false"/>
      <protection locked="true" hidden="false"/>
    </xf>
    <xf numFmtId="164" fontId="25" fillId="17" borderId="0" xfId="0" applyFont="true" applyBorder="false" applyAlignment="true" applyProtection="false">
      <alignment horizontal="center" vertical="bottom" textRotation="0" wrapText="true" indent="0" shrinkToFit="false"/>
      <protection locked="true" hidden="false"/>
    </xf>
    <xf numFmtId="164" fontId="30" fillId="0" borderId="0" xfId="0" applyFont="true" applyBorder="false" applyAlignment="true" applyProtection="false">
      <alignment horizontal="center" vertical="bottom" textRotation="0" wrapText="true" indent="0" shrinkToFit="false"/>
      <protection locked="true" hidden="false"/>
    </xf>
    <xf numFmtId="164" fontId="31" fillId="18" borderId="0" xfId="0" applyFont="true" applyBorder="false" applyAlignment="true" applyProtection="false">
      <alignment horizontal="center" vertical="bottom" textRotation="0" wrapText="true" indent="0" shrinkToFit="false"/>
      <protection locked="true" hidden="false"/>
    </xf>
    <xf numFmtId="164" fontId="0" fillId="18" borderId="0" xfId="0" applyFont="false" applyBorder="false" applyAlignment="false" applyProtection="false">
      <alignment horizontal="general" vertical="bottom" textRotation="0" wrapText="false" indent="0" shrinkToFit="false"/>
      <protection locked="true" hidden="false"/>
    </xf>
    <xf numFmtId="164" fontId="0" fillId="19" borderId="0" xfId="0" applyFont="false" applyBorder="false" applyAlignment="false" applyProtection="false">
      <alignment horizontal="general" vertical="bottom" textRotation="0" wrapText="false" indent="0" shrinkToFit="false"/>
      <protection locked="true" hidden="false"/>
    </xf>
    <xf numFmtId="164" fontId="0" fillId="0" borderId="0" xfId="0" applyFont="true" applyBorder="true" applyAlignment="true" applyProtection="false">
      <alignment horizontal="center" vertical="bottom" textRotation="0" wrapText="false" indent="0" shrinkToFit="false"/>
      <protection locked="true" hidden="false"/>
    </xf>
    <xf numFmtId="164" fontId="0" fillId="15" borderId="0" xfId="0" applyFont="false" applyBorder="false" applyAlignment="false" applyProtection="false">
      <alignment horizontal="general" vertical="bottom" textRotation="0" wrapText="false" indent="0" shrinkToFit="false"/>
      <protection locked="true" hidden="false"/>
    </xf>
    <xf numFmtId="164" fontId="0" fillId="14" borderId="0" xfId="0" applyFont="true" applyBorder="true" applyAlignment="true" applyProtection="false">
      <alignment horizontal="center" vertical="bottom" textRotation="0" wrapText="false" indent="0" shrinkToFit="false"/>
      <protection locked="true" hidden="false"/>
    </xf>
    <xf numFmtId="170" fontId="0" fillId="0" borderId="17" xfId="0" applyFont="false" applyBorder="true" applyAlignment="false" applyProtection="false">
      <alignment horizontal="general" vertical="bottom" textRotation="0" wrapText="false" indent="0" shrinkToFit="false"/>
      <protection locked="true" hidden="false"/>
    </xf>
    <xf numFmtId="164" fontId="0" fillId="14" borderId="0" xfId="0" applyFont="false" applyBorder="false" applyAlignment="false" applyProtection="false">
      <alignment horizontal="general" vertical="bottom" textRotation="0" wrapText="false" indent="0" shrinkToFit="false"/>
      <protection locked="true" hidden="false"/>
    </xf>
    <xf numFmtId="170" fontId="0" fillId="0" borderId="6" xfId="0" applyFont="false" applyBorder="true" applyAlignment="false" applyProtection="false">
      <alignment horizontal="general" vertical="bottom" textRotation="0" wrapText="false" indent="0" shrinkToFit="false"/>
      <protection locked="true" hidden="false"/>
    </xf>
    <xf numFmtId="170" fontId="0" fillId="0" borderId="18" xfId="0" applyFont="false" applyBorder="true" applyAlignment="false" applyProtection="false">
      <alignment horizontal="general" vertical="bottom" textRotation="0" wrapText="false" indent="0" shrinkToFit="false"/>
      <protection locked="true" hidden="false"/>
    </xf>
    <xf numFmtId="170" fontId="0" fillId="0" borderId="7" xfId="0" applyFont="false" applyBorder="true" applyAlignment="false" applyProtection="false">
      <alignment horizontal="general" vertical="bottom" textRotation="0" wrapText="false" indent="0" shrinkToFit="false"/>
      <protection locked="true" hidden="false"/>
    </xf>
    <xf numFmtId="170" fontId="12" fillId="19" borderId="0" xfId="0" applyFont="true" applyBorder="false" applyAlignment="false" applyProtection="false">
      <alignment horizontal="general" vertical="bottom" textRotation="0" wrapText="false" indent="0" shrinkToFit="false"/>
      <protection locked="true" hidden="false"/>
    </xf>
    <xf numFmtId="170" fontId="0" fillId="0" borderId="5" xfId="0" applyFont="false" applyBorder="true" applyAlignment="false" applyProtection="false">
      <alignment horizontal="general" vertical="bottom" textRotation="0" wrapText="false" indent="0" shrinkToFit="false"/>
      <protection locked="true" hidden="false"/>
    </xf>
    <xf numFmtId="170" fontId="0" fillId="0" borderId="19" xfId="0" applyFont="false" applyBorder="true" applyAlignment="false" applyProtection="false">
      <alignment horizontal="general" vertical="bottom" textRotation="0" wrapText="false" indent="0" shrinkToFit="false"/>
      <protection locked="true" hidden="false"/>
    </xf>
    <xf numFmtId="170" fontId="0" fillId="0" borderId="4" xfId="0" applyFont="false" applyBorder="true" applyAlignment="false" applyProtection="false">
      <alignment horizontal="general" vertical="bottom" textRotation="0" wrapText="false" indent="0" shrinkToFit="false"/>
      <protection locked="true" hidden="false"/>
    </xf>
    <xf numFmtId="164" fontId="0" fillId="0" borderId="0" xfId="0" applyFont="true" applyBorder="false" applyAlignment="false" applyProtection="false">
      <alignment horizontal="general" vertical="bottom" textRotation="0" wrapText="false" indent="0" shrinkToFit="false"/>
      <protection locked="true" hidden="false"/>
    </xf>
    <xf numFmtId="164" fontId="0" fillId="14" borderId="0" xfId="0" applyFont="true" applyBorder="false" applyAlignment="false" applyProtection="false">
      <alignment horizontal="general" vertical="bottom" textRotation="0" wrapText="false" indent="0" shrinkToFit="false"/>
      <protection locked="true" hidden="false"/>
    </xf>
    <xf numFmtId="164" fontId="0" fillId="15" borderId="0" xfId="0" applyFont="true" applyBorder="false" applyAlignment="false" applyProtection="false">
      <alignment horizontal="general" vertical="bottom" textRotation="0" wrapText="false" indent="0" shrinkToFit="false"/>
      <protection locked="true" hidden="false"/>
    </xf>
    <xf numFmtId="164" fontId="0" fillId="0" borderId="20" xfId="0" applyFont="false" applyBorder="true" applyAlignment="false" applyProtection="false">
      <alignment horizontal="general" vertical="bottom" textRotation="0" wrapText="false" indent="0" shrinkToFit="false"/>
      <protection locked="true" hidden="false"/>
    </xf>
    <xf numFmtId="164" fontId="0" fillId="0" borderId="21" xfId="0" applyFont="false" applyBorder="true" applyAlignment="false" applyProtection="false">
      <alignment horizontal="general" vertical="bottom" textRotation="0" wrapText="false" indent="0" shrinkToFit="false"/>
      <protection locked="true" hidden="false"/>
    </xf>
    <xf numFmtId="164" fontId="0" fillId="0" borderId="22" xfId="0" applyFont="false" applyBorder="true" applyAlignment="false" applyProtection="false">
      <alignment horizontal="general" vertical="bottom" textRotation="0" wrapText="false" indent="0" shrinkToFit="false"/>
      <protection locked="true" hidden="false"/>
    </xf>
    <xf numFmtId="164" fontId="0" fillId="0" borderId="23" xfId="0" applyFont="false" applyBorder="true" applyAlignment="false" applyProtection="false">
      <alignment horizontal="general" vertical="bottom" textRotation="0" wrapText="false" indent="0" shrinkToFit="false"/>
      <protection locked="true" hidden="false"/>
    </xf>
    <xf numFmtId="164" fontId="0" fillId="14" borderId="20" xfId="0" applyFont="false" applyBorder="true" applyAlignment="false" applyProtection="false">
      <alignment horizontal="general" vertical="bottom" textRotation="0" wrapText="false" indent="0" shrinkToFit="false"/>
      <protection locked="true" hidden="false"/>
    </xf>
    <xf numFmtId="164" fontId="0" fillId="14" borderId="23" xfId="0" applyFont="false" applyBorder="true" applyAlignment="false" applyProtection="false">
      <alignment horizontal="general" vertical="bottom" textRotation="0" wrapText="false" indent="0" shrinkToFit="false"/>
      <protection locked="true" hidden="false"/>
    </xf>
    <xf numFmtId="164" fontId="0" fillId="14" borderId="22" xfId="0" applyFont="false" applyBorder="true" applyAlignment="false" applyProtection="false">
      <alignment horizontal="general" vertical="bottom" textRotation="0" wrapText="false" indent="0" shrinkToFit="false"/>
      <protection locked="true" hidden="false"/>
    </xf>
    <xf numFmtId="164" fontId="0" fillId="15" borderId="22" xfId="0" applyFont="false" applyBorder="true" applyAlignment="false" applyProtection="false">
      <alignment horizontal="general" vertical="bottom" textRotation="0" wrapText="false" indent="0" shrinkToFit="false"/>
      <protection locked="true" hidden="false"/>
    </xf>
    <xf numFmtId="164" fontId="0" fillId="15" borderId="23" xfId="0" applyFont="false" applyBorder="true" applyAlignment="false" applyProtection="false">
      <alignment horizontal="general" vertical="bottom" textRotation="0" wrapText="false" indent="0" shrinkToFit="false"/>
      <protection locked="true" hidden="false"/>
    </xf>
    <xf numFmtId="164" fontId="0" fillId="14" borderId="24" xfId="0" applyFont="false" applyBorder="true" applyAlignment="false" applyProtection="false">
      <alignment horizontal="general" vertical="bottom" textRotation="0" wrapText="false" indent="0" shrinkToFit="false"/>
      <protection locked="true" hidden="false"/>
    </xf>
    <xf numFmtId="164" fontId="0" fillId="15" borderId="25" xfId="0" applyFont="false" applyBorder="true" applyAlignment="false" applyProtection="false">
      <alignment horizontal="general" vertical="bottom" textRotation="0" wrapText="false" indent="0" shrinkToFit="false"/>
      <protection locked="true" hidden="false"/>
    </xf>
    <xf numFmtId="164" fontId="0" fillId="15" borderId="24" xfId="0" applyFont="false" applyBorder="true" applyAlignment="false" applyProtection="false">
      <alignment horizontal="general" vertical="bottom" textRotation="0" wrapText="false" indent="0" shrinkToFit="false"/>
      <protection locked="true" hidden="false"/>
    </xf>
    <xf numFmtId="164" fontId="4" fillId="0" borderId="0" xfId="24" applyFont="true" applyBorder="true" applyAlignment="true" applyProtection="true">
      <alignment horizontal="general" vertical="bottom" textRotation="0" wrapText="false" indent="0" shrinkToFit="false"/>
      <protection locked="true" hidden="false"/>
    </xf>
    <xf numFmtId="164" fontId="8" fillId="8" borderId="0" xfId="0" applyFont="true" applyBorder="true" applyAlignment="true" applyProtection="false">
      <alignment horizontal="center" vertical="bottom" textRotation="0" wrapText="true" indent="0" shrinkToFit="false"/>
      <protection locked="true" hidden="false"/>
    </xf>
    <xf numFmtId="164" fontId="11" fillId="0" borderId="0" xfId="0" applyFont="true" applyBorder="false" applyAlignment="false" applyProtection="false">
      <alignment horizontal="general" vertical="bottom" textRotation="0" wrapText="false" indent="0" shrinkToFit="false"/>
      <protection locked="true" hidden="false"/>
    </xf>
    <xf numFmtId="164" fontId="32" fillId="0" borderId="0" xfId="0" applyFont="true" applyBorder="false" applyAlignment="false" applyProtection="false">
      <alignment horizontal="general" vertical="bottom" textRotation="0" wrapText="false" indent="0" shrinkToFit="false"/>
      <protection locked="true" hidden="false"/>
    </xf>
    <xf numFmtId="164" fontId="33" fillId="0" borderId="0" xfId="0" applyFont="true" applyBorder="false" applyAlignment="false" applyProtection="false">
      <alignment horizontal="general" vertical="bottom" textRotation="0" wrapText="false" indent="0" shrinkToFit="false"/>
      <protection locked="true" hidden="false"/>
    </xf>
    <xf numFmtId="164" fontId="34" fillId="0" borderId="0" xfId="0" applyFont="true" applyBorder="false" applyAlignment="false" applyProtection="false">
      <alignment horizontal="general" vertical="bottom" textRotation="0" wrapText="false" indent="0" shrinkToFit="false"/>
      <protection locked="true" hidden="false"/>
    </xf>
    <xf numFmtId="164" fontId="35" fillId="8" borderId="0" xfId="0" applyFont="true" applyBorder="true" applyAlignment="true" applyProtection="false">
      <alignment horizontal="center" vertical="bottom" textRotation="0" wrapText="false" indent="0" shrinkToFit="false"/>
      <protection locked="true" hidden="false"/>
    </xf>
    <xf numFmtId="164" fontId="35" fillId="0" borderId="0" xfId="0" applyFont="true" applyBorder="false" applyAlignment="false" applyProtection="false">
      <alignment horizontal="general" vertical="bottom" textRotation="0" wrapText="false" indent="0" shrinkToFit="false"/>
      <protection locked="true" hidden="false"/>
    </xf>
    <xf numFmtId="164" fontId="36" fillId="8" borderId="8" xfId="0" applyFont="true" applyBorder="true" applyAlignment="true" applyProtection="false">
      <alignment horizontal="general" vertical="bottom" textRotation="0" wrapText="false" indent="0" shrinkToFit="false" readingOrder="1"/>
      <protection locked="true" hidden="false"/>
    </xf>
    <xf numFmtId="164" fontId="36" fillId="8" borderId="9" xfId="0" applyFont="true" applyBorder="true" applyAlignment="true" applyProtection="false">
      <alignment horizontal="general" vertical="bottom" textRotation="0" wrapText="false" indent="0" shrinkToFit="false" readingOrder="1"/>
      <protection locked="true" hidden="false"/>
    </xf>
    <xf numFmtId="164" fontId="37" fillId="8" borderId="9" xfId="0" applyFont="true" applyBorder="true" applyAlignment="false" applyProtection="false">
      <alignment horizontal="general" vertical="bottom" textRotation="0" wrapText="false" indent="0" shrinkToFit="false"/>
      <protection locked="true" hidden="false"/>
    </xf>
    <xf numFmtId="164" fontId="8" fillId="8" borderId="9" xfId="0" applyFont="true" applyBorder="true" applyAlignment="true" applyProtection="false">
      <alignment horizontal="general" vertical="center" textRotation="0" wrapText="false" indent="0" shrinkToFit="false"/>
      <protection locked="true" hidden="false"/>
    </xf>
    <xf numFmtId="164" fontId="8" fillId="8" borderId="11" xfId="0" applyFont="true" applyBorder="true" applyAlignment="false" applyProtection="false">
      <alignment horizontal="general" vertical="bottom" textRotation="0" wrapText="false" indent="0" shrinkToFit="false"/>
      <protection locked="true" hidden="false"/>
    </xf>
    <xf numFmtId="164" fontId="36" fillId="0" borderId="8" xfId="0" applyFont="true" applyBorder="true" applyAlignment="true" applyProtection="false">
      <alignment horizontal="general" vertical="bottom" textRotation="0" wrapText="false" indent="0" shrinkToFit="false" readingOrder="1"/>
      <protection locked="true" hidden="false"/>
    </xf>
    <xf numFmtId="166" fontId="14" fillId="0" borderId="9" xfId="0" applyFont="true" applyBorder="true" applyAlignment="true" applyProtection="false">
      <alignment horizontal="general" vertical="bottom" textRotation="0" wrapText="false" indent="0" shrinkToFit="false" readingOrder="1"/>
      <protection locked="true" hidden="false"/>
    </xf>
    <xf numFmtId="164" fontId="14" fillId="0" borderId="9" xfId="0" applyFont="true" applyBorder="true" applyAlignment="true" applyProtection="false">
      <alignment horizontal="general" vertical="bottom" textRotation="0" wrapText="false" indent="0" shrinkToFit="false" readingOrder="1"/>
      <protection locked="true" hidden="false"/>
    </xf>
    <xf numFmtId="164" fontId="38" fillId="0" borderId="9" xfId="0" applyFont="true" applyBorder="true" applyAlignment="true" applyProtection="false">
      <alignment horizontal="general" vertical="bottom" textRotation="0" wrapText="false" indent="0" shrinkToFit="false" readingOrder="1"/>
      <protection locked="true" hidden="false"/>
    </xf>
    <xf numFmtId="168" fontId="39" fillId="0" borderId="9" xfId="0" applyFont="true" applyBorder="true" applyAlignment="false" applyProtection="false">
      <alignment horizontal="general" vertical="bottom" textRotation="0" wrapText="false" indent="0" shrinkToFit="false"/>
      <protection locked="true" hidden="false"/>
    </xf>
    <xf numFmtId="164" fontId="0" fillId="0" borderId="9" xfId="0" applyFont="true" applyBorder="true" applyAlignment="true" applyProtection="false">
      <alignment horizontal="general" vertical="center" textRotation="0" wrapText="false" indent="0" shrinkToFit="false"/>
      <protection locked="true" hidden="false"/>
    </xf>
    <xf numFmtId="164" fontId="0" fillId="0" borderId="11" xfId="0" applyFont="true" applyBorder="true" applyAlignment="true" applyProtection="false">
      <alignment horizontal="general" vertical="center" textRotation="0" wrapText="false" indent="0" shrinkToFit="false"/>
      <protection locked="true" hidden="false"/>
    </xf>
    <xf numFmtId="164" fontId="36" fillId="0" borderId="26" xfId="0" applyFont="true" applyBorder="true" applyAlignment="true" applyProtection="false">
      <alignment horizontal="general" vertical="bottom" textRotation="0" wrapText="false" indent="0" shrinkToFit="false" readingOrder="1"/>
      <protection locked="true" hidden="false"/>
    </xf>
    <xf numFmtId="166" fontId="14" fillId="0" borderId="0" xfId="0" applyFont="true" applyBorder="false" applyAlignment="true" applyProtection="false">
      <alignment horizontal="general" vertical="bottom" textRotation="0" wrapText="false" indent="0" shrinkToFit="false" readingOrder="1"/>
      <protection locked="true" hidden="false"/>
    </xf>
    <xf numFmtId="164" fontId="38" fillId="0" borderId="0" xfId="0" applyFont="true" applyBorder="false" applyAlignment="true" applyProtection="false">
      <alignment horizontal="general" vertical="bottom" textRotation="0" wrapText="false" indent="0" shrinkToFit="false" readingOrder="1"/>
      <protection locked="true" hidden="false"/>
    </xf>
    <xf numFmtId="168" fontId="39" fillId="0" borderId="0" xfId="0" applyFont="true" applyBorder="false" applyAlignment="false" applyProtection="false">
      <alignment horizontal="general" vertical="bottom" textRotation="0" wrapText="false" indent="0" shrinkToFit="false"/>
      <protection locked="true" hidden="false"/>
    </xf>
    <xf numFmtId="164" fontId="0" fillId="0" borderId="13" xfId="0" applyFont="true" applyBorder="true" applyAlignment="true" applyProtection="false">
      <alignment horizontal="general" vertical="center" textRotation="0" wrapText="false" indent="0" shrinkToFit="false"/>
      <protection locked="true" hidden="false"/>
    </xf>
    <xf numFmtId="164" fontId="8" fillId="0" borderId="27" xfId="0" applyFont="true" applyBorder="true" applyAlignment="false" applyProtection="false">
      <alignment horizontal="general" vertical="bottom" textRotation="0" wrapText="false" indent="0" shrinkToFit="false"/>
      <protection locked="true" hidden="false"/>
    </xf>
    <xf numFmtId="166" fontId="14" fillId="0" borderId="28" xfId="0" applyFont="true" applyBorder="true" applyAlignment="true" applyProtection="false">
      <alignment horizontal="general" vertical="bottom" textRotation="0" wrapText="false" indent="0" shrinkToFit="false" readingOrder="1"/>
      <protection locked="true" hidden="false"/>
    </xf>
    <xf numFmtId="164" fontId="0" fillId="0" borderId="15" xfId="0" applyFont="false" applyBorder="true" applyAlignment="false" applyProtection="false">
      <alignment horizontal="general" vertical="bottom" textRotation="0" wrapText="false" indent="0" shrinkToFit="false"/>
      <protection locked="true" hidden="false"/>
    </xf>
    <xf numFmtId="164" fontId="0" fillId="0" borderId="15" xfId="0" applyFont="true" applyBorder="true" applyAlignment="false" applyProtection="false">
      <alignment horizontal="general" vertical="bottom" textRotation="0" wrapText="false" indent="0" shrinkToFit="false"/>
      <protection locked="true" hidden="false"/>
    </xf>
    <xf numFmtId="168" fontId="39" fillId="0" borderId="15" xfId="0" applyFont="true" applyBorder="true" applyAlignment="false" applyProtection="false">
      <alignment horizontal="general" vertical="bottom" textRotation="0" wrapText="false" indent="0" shrinkToFit="false"/>
      <protection locked="true" hidden="false"/>
    </xf>
    <xf numFmtId="164" fontId="0" fillId="0" borderId="15" xfId="0" applyFont="true" applyBorder="true" applyAlignment="true" applyProtection="false">
      <alignment horizontal="general" vertical="center" textRotation="0" wrapText="false" indent="0" shrinkToFit="false"/>
      <protection locked="true" hidden="false"/>
    </xf>
    <xf numFmtId="164" fontId="0" fillId="0" borderId="16" xfId="0" applyFont="true" applyBorder="true" applyAlignment="true" applyProtection="false">
      <alignment horizontal="general" vertical="center" textRotation="0" wrapText="false" indent="0" shrinkToFit="false"/>
      <protection locked="true" hidden="false"/>
    </xf>
    <xf numFmtId="164" fontId="9" fillId="0" borderId="0" xfId="0" applyFont="true" applyBorder="false" applyAlignment="false" applyProtection="false">
      <alignment horizontal="general" vertical="bottom" textRotation="0" wrapText="false" indent="0" shrinkToFit="false"/>
      <protection locked="true" hidden="false"/>
    </xf>
    <xf numFmtId="164" fontId="8" fillId="8" borderId="0" xfId="0" applyFont="true" applyBorder="false" applyAlignment="true" applyProtection="false">
      <alignment horizontal="center" vertical="center" textRotation="0" wrapText="false" indent="0" shrinkToFit="false"/>
      <protection locked="true" hidden="false"/>
    </xf>
    <xf numFmtId="164" fontId="8" fillId="17" borderId="0" xfId="0" applyFont="true" applyBorder="true" applyAlignment="true" applyProtection="false">
      <alignment horizontal="center" vertical="center" textRotation="0" wrapText="false" indent="0" shrinkToFit="false"/>
      <protection locked="true" hidden="false"/>
    </xf>
    <xf numFmtId="164" fontId="0" fillId="0" borderId="0" xfId="0" applyFont="true" applyBorder="false" applyAlignment="true" applyProtection="false">
      <alignment horizontal="general" vertical="bottom" textRotation="0" wrapText="true" indent="0" shrinkToFit="false"/>
      <protection locked="true" hidden="false"/>
    </xf>
    <xf numFmtId="164" fontId="4" fillId="0" borderId="0" xfId="24" applyFont="true" applyBorder="true" applyAlignment="true" applyProtection="true">
      <alignment horizontal="general" vertical="center" textRotation="0" wrapText="false" indent="0" shrinkToFit="false"/>
      <protection locked="true" hidden="false"/>
    </xf>
    <xf numFmtId="164" fontId="0" fillId="20" borderId="0" xfId="0" applyFont="false" applyBorder="false" applyAlignment="false" applyProtection="false">
      <alignment horizontal="general" vertical="bottom" textRotation="0" wrapText="false" indent="0" shrinkToFit="false"/>
      <protection locked="true" hidden="false"/>
    </xf>
    <xf numFmtId="164" fontId="0" fillId="20" borderId="0" xfId="0" applyFont="false" applyBorder="false" applyAlignment="true" applyProtection="false">
      <alignment horizontal="general" vertical="bottom" textRotation="0" wrapText="true" indent="0" shrinkToFit="false"/>
      <protection locked="true" hidden="false"/>
    </xf>
    <xf numFmtId="164" fontId="7" fillId="16" borderId="0" xfId="0" applyFont="true" applyBorder="true" applyAlignment="true" applyProtection="false">
      <alignment horizontal="center" vertical="center" textRotation="0" wrapText="false" indent="0" shrinkToFit="false"/>
      <protection locked="true" hidden="false"/>
    </xf>
    <xf numFmtId="164" fontId="40" fillId="8" borderId="0" xfId="0" applyFont="true" applyBorder="false" applyAlignment="false" applyProtection="false">
      <alignment horizontal="general" vertical="bottom" textRotation="0" wrapText="false" indent="0" shrinkToFit="false"/>
      <protection locked="true" hidden="false"/>
    </xf>
    <xf numFmtId="164" fontId="22" fillId="0" borderId="0" xfId="0" applyFont="true" applyBorder="true" applyAlignment="true" applyProtection="false">
      <alignment horizontal="center" vertical="bottom" textRotation="0" wrapText="true" indent="0" shrinkToFit="false"/>
      <protection locked="true" hidden="false"/>
    </xf>
    <xf numFmtId="164" fontId="8" fillId="0" borderId="0" xfId="0" applyFont="true" applyBorder="false" applyAlignment="true" applyProtection="false">
      <alignment horizontal="left" vertical="top" textRotation="0" wrapText="true" indent="0" shrinkToFit="false"/>
      <protection locked="true" hidden="false"/>
    </xf>
    <xf numFmtId="166" fontId="0" fillId="0" borderId="0" xfId="0" applyFont="false" applyBorder="false" applyAlignment="true" applyProtection="false">
      <alignment horizontal="right" vertical="center" textRotation="0" wrapText="true" indent="0" shrinkToFit="false"/>
      <protection locked="true" hidden="false"/>
    </xf>
    <xf numFmtId="164" fontId="9" fillId="0" borderId="0" xfId="0" applyFont="true" applyBorder="false" applyAlignment="true" applyProtection="false">
      <alignment horizontal="general" vertical="center" textRotation="0" wrapText="false" indent="0" shrinkToFit="false"/>
      <protection locked="true" hidden="false"/>
    </xf>
    <xf numFmtId="164" fontId="8" fillId="17" borderId="0" xfId="0" applyFont="true" applyBorder="false" applyAlignment="true" applyProtection="false">
      <alignment horizontal="left" vertical="top" textRotation="0" wrapText="true" indent="0" shrinkToFit="false"/>
      <protection locked="true" hidden="false"/>
    </xf>
    <xf numFmtId="170" fontId="0" fillId="17" borderId="0" xfId="0" applyFont="false" applyBorder="false" applyAlignment="true" applyProtection="false">
      <alignment horizontal="right" vertical="center" textRotation="0" wrapText="true" indent="0" shrinkToFit="false"/>
      <protection locked="true" hidden="false"/>
    </xf>
    <xf numFmtId="164" fontId="9" fillId="17" borderId="0" xfId="0" applyFont="true" applyBorder="false" applyAlignment="true" applyProtection="false">
      <alignment horizontal="general" vertical="center" textRotation="0" wrapText="false" indent="0" shrinkToFit="false"/>
      <protection locked="true" hidden="false"/>
    </xf>
    <xf numFmtId="164" fontId="8" fillId="17" borderId="0" xfId="0" applyFont="true" applyBorder="false" applyAlignment="true" applyProtection="false">
      <alignment horizontal="general" vertical="bottom" textRotation="0" wrapText="true" indent="0" shrinkToFit="false"/>
      <protection locked="true" hidden="false"/>
    </xf>
    <xf numFmtId="166" fontId="0" fillId="17" borderId="0" xfId="0" applyFont="false" applyBorder="false" applyAlignment="false" applyProtection="false">
      <alignment horizontal="general" vertical="bottom" textRotation="0" wrapText="false" indent="0" shrinkToFit="false"/>
      <protection locked="true" hidden="false"/>
    </xf>
    <xf numFmtId="164" fontId="9" fillId="17" borderId="0" xfId="0" applyFont="true" applyBorder="false" applyAlignment="false" applyProtection="false">
      <alignment horizontal="general" vertical="bottom" textRotation="0" wrapText="false" indent="0" shrinkToFit="false"/>
      <protection locked="true" hidden="false"/>
    </xf>
    <xf numFmtId="164" fontId="40" fillId="8" borderId="0" xfId="0" applyFont="true" applyBorder="false" applyAlignment="true" applyProtection="false">
      <alignment horizontal="center" vertical="center" textRotation="0" wrapText="true" indent="0" shrinkToFit="false"/>
      <protection locked="true" hidden="false"/>
    </xf>
    <xf numFmtId="164" fontId="22" fillId="0" borderId="0" xfId="0" applyFont="true" applyBorder="true" applyAlignment="true" applyProtection="false">
      <alignment horizontal="center" vertical="center" textRotation="0" wrapText="true" indent="0" shrinkToFit="false"/>
      <protection locked="true" hidden="false"/>
    </xf>
    <xf numFmtId="164" fontId="7" fillId="10" borderId="0" xfId="0" applyFont="true" applyBorder="true" applyAlignment="true" applyProtection="false">
      <alignment horizontal="center" vertical="center" textRotation="0" wrapText="false" indent="0" shrinkToFit="false"/>
      <protection locked="true" hidden="false"/>
    </xf>
    <xf numFmtId="166" fontId="0" fillId="17" borderId="0" xfId="0" applyFont="false" applyBorder="false" applyAlignment="true" applyProtection="false">
      <alignment horizontal="right" vertical="center" textRotation="0" wrapText="true" indent="0" shrinkToFit="false"/>
      <protection locked="true" hidden="false"/>
    </xf>
    <xf numFmtId="164" fontId="23" fillId="20" borderId="0" xfId="0" applyFont="true" applyBorder="false" applyAlignment="false" applyProtection="false">
      <alignment horizontal="general" vertical="bottom" textRotation="0" wrapText="false" indent="0" shrinkToFit="false"/>
      <protection locked="true" hidden="false"/>
    </xf>
    <xf numFmtId="164" fontId="41" fillId="16" borderId="29" xfId="0" applyFont="true" applyBorder="true" applyAlignment="true" applyProtection="false">
      <alignment horizontal="center" vertical="center" textRotation="0" wrapText="false" indent="0" shrinkToFit="false"/>
      <protection locked="true" hidden="false"/>
    </xf>
    <xf numFmtId="164" fontId="8" fillId="0" borderId="7" xfId="0" applyFont="true" applyBorder="true" applyAlignment="false" applyProtection="false">
      <alignment horizontal="general" vertical="bottom" textRotation="0" wrapText="false" indent="0" shrinkToFit="false"/>
      <protection locked="true" hidden="false"/>
    </xf>
    <xf numFmtId="164" fontId="9" fillId="0" borderId="18" xfId="0" applyFont="true" applyBorder="true" applyAlignment="false" applyProtection="false">
      <alignment horizontal="general" vertical="bottom" textRotation="0" wrapText="false" indent="0" shrinkToFit="false"/>
      <protection locked="true" hidden="false"/>
    </xf>
    <xf numFmtId="164" fontId="8" fillId="17" borderId="5" xfId="0" applyFont="true" applyBorder="true" applyAlignment="false" applyProtection="false">
      <alignment horizontal="general" vertical="bottom" textRotation="0" wrapText="false" indent="0" shrinkToFit="false"/>
      <protection locked="true" hidden="false"/>
    </xf>
    <xf numFmtId="164" fontId="0" fillId="17" borderId="28" xfId="0" applyFont="false" applyBorder="true" applyAlignment="false" applyProtection="false">
      <alignment horizontal="general" vertical="bottom" textRotation="0" wrapText="false" indent="0" shrinkToFit="false"/>
      <protection locked="true" hidden="false"/>
    </xf>
    <xf numFmtId="164" fontId="9" fillId="17" borderId="19" xfId="0" applyFont="true" applyBorder="true" applyAlignment="false" applyProtection="false">
      <alignment horizontal="general" vertical="bottom" textRotation="0" wrapText="false" indent="0" shrinkToFit="false"/>
      <protection locked="true" hidden="false"/>
    </xf>
    <xf numFmtId="164" fontId="41" fillId="16" borderId="2" xfId="0" applyFont="true" applyBorder="true" applyAlignment="true" applyProtection="false">
      <alignment horizontal="center" vertical="center" textRotation="0" wrapText="false" indent="0" shrinkToFit="false"/>
      <protection locked="true" hidden="false"/>
    </xf>
    <xf numFmtId="164" fontId="8" fillId="0" borderId="3" xfId="0" applyFont="true" applyBorder="true" applyAlignment="false" applyProtection="false">
      <alignment horizontal="general" vertical="bottom" textRotation="0" wrapText="false" indent="0" shrinkToFit="false"/>
      <protection locked="true" hidden="false"/>
    </xf>
    <xf numFmtId="164" fontId="9" fillId="0" borderId="30" xfId="0" applyFont="true" applyBorder="true" applyAlignment="false" applyProtection="false">
      <alignment horizontal="general" vertical="bottom" textRotation="0" wrapText="false" indent="0" shrinkToFit="false"/>
      <protection locked="true" hidden="false"/>
    </xf>
    <xf numFmtId="167" fontId="9" fillId="0" borderId="17" xfId="0" applyFont="true" applyBorder="true" applyAlignment="false" applyProtection="false">
      <alignment horizontal="general" vertical="bottom" textRotation="0" wrapText="false" indent="0" shrinkToFit="false"/>
      <protection locked="true" hidden="false"/>
    </xf>
    <xf numFmtId="167" fontId="9" fillId="0" borderId="18" xfId="0" applyFont="true" applyBorder="true" applyAlignment="false" applyProtection="false">
      <alignment horizontal="general" vertical="bottom" textRotation="0" wrapText="false" indent="0" shrinkToFit="false"/>
      <protection locked="true" hidden="false"/>
    </xf>
    <xf numFmtId="164" fontId="15" fillId="0" borderId="7" xfId="0" applyFont="true" applyBorder="true" applyAlignment="false" applyProtection="false">
      <alignment horizontal="general" vertical="bottom" textRotation="0" wrapText="false" indent="0" shrinkToFit="false"/>
      <protection locked="true" hidden="false"/>
    </xf>
    <xf numFmtId="164" fontId="15" fillId="0" borderId="0" xfId="0" applyFont="true" applyBorder="false" applyAlignment="false" applyProtection="false">
      <alignment horizontal="general" vertical="bottom" textRotation="0" wrapText="false" indent="0" shrinkToFit="false"/>
      <protection locked="true" hidden="false"/>
    </xf>
    <xf numFmtId="167" fontId="0" fillId="17" borderId="28" xfId="0" applyFont="false" applyBorder="true" applyAlignment="false" applyProtection="false">
      <alignment horizontal="general" vertical="bottom" textRotation="0" wrapText="false" indent="0" shrinkToFit="false"/>
      <protection locked="true" hidden="false"/>
    </xf>
    <xf numFmtId="164" fontId="41" fillId="16" borderId="2" xfId="0" applyFont="true" applyBorder="true" applyAlignment="true" applyProtection="false">
      <alignment horizontal="center" vertical="center" textRotation="0" wrapText="true" indent="0" shrinkToFit="false"/>
      <protection locked="true" hidden="false"/>
    </xf>
    <xf numFmtId="164" fontId="9" fillId="0" borderId="17" xfId="0" applyFont="true" applyBorder="true" applyAlignment="false" applyProtection="false">
      <alignment horizontal="general" vertical="bottom" textRotation="0" wrapText="false" indent="0" shrinkToFit="false"/>
      <protection locked="true" hidden="false"/>
    </xf>
    <xf numFmtId="164" fontId="0" fillId="17" borderId="5" xfId="0" applyFont="true" applyBorder="true" applyAlignment="true" applyProtection="false">
      <alignment horizontal="general" vertical="bottom" textRotation="0" wrapText="true" indent="0" shrinkToFit="false"/>
      <protection locked="true" hidden="false"/>
    </xf>
    <xf numFmtId="167" fontId="9" fillId="17" borderId="19" xfId="0" applyFont="true" applyBorder="true" applyAlignment="false" applyProtection="false">
      <alignment horizontal="general" vertical="bottom" textRotation="0" wrapText="false" indent="0" shrinkToFit="false"/>
      <protection locked="true" hidden="false"/>
    </xf>
    <xf numFmtId="164" fontId="12" fillId="0" borderId="7" xfId="0" applyFont="true" applyBorder="true" applyAlignment="false" applyProtection="false">
      <alignment horizontal="general" vertical="bottom" textRotation="0" wrapText="false" indent="0" shrinkToFit="false"/>
      <protection locked="true" hidden="false"/>
    </xf>
    <xf numFmtId="164" fontId="0" fillId="17" borderId="5" xfId="0" applyFont="true" applyBorder="true" applyAlignment="false" applyProtection="false">
      <alignment horizontal="general" vertical="bottom" textRotation="0" wrapText="false" indent="0" shrinkToFit="false"/>
      <protection locked="true" hidden="false"/>
    </xf>
    <xf numFmtId="167" fontId="9" fillId="17" borderId="28" xfId="0" applyFont="true" applyBorder="true" applyAlignment="false" applyProtection="false">
      <alignment horizontal="general" vertical="bottom" textRotation="0" wrapText="false" indent="0" shrinkToFit="false"/>
      <protection locked="true" hidden="false"/>
    </xf>
    <xf numFmtId="164" fontId="9" fillId="0" borderId="18" xfId="0" applyFont="true" applyBorder="true" applyAlignment="true" applyProtection="false">
      <alignment horizontal="general" vertical="center" textRotation="0" wrapText="true" indent="0" shrinkToFit="false"/>
      <protection locked="true" hidden="false"/>
    </xf>
    <xf numFmtId="169" fontId="0" fillId="0" borderId="0" xfId="0" applyFont="false" applyBorder="false" applyAlignment="false" applyProtection="false">
      <alignment horizontal="general" vertical="bottom" textRotation="0" wrapText="false" indent="0" shrinkToFit="false"/>
      <protection locked="true" hidden="false"/>
    </xf>
    <xf numFmtId="164" fontId="8" fillId="0" borderId="7" xfId="0" applyFont="true" applyBorder="true" applyAlignment="true" applyProtection="false">
      <alignment horizontal="general" vertical="center" textRotation="0" wrapText="true" indent="0" shrinkToFit="false"/>
      <protection locked="true" hidden="false"/>
    </xf>
    <xf numFmtId="164" fontId="13" fillId="21" borderId="0" xfId="0" applyFont="true" applyBorder="false" applyAlignment="true" applyProtection="false">
      <alignment horizontal="general" vertical="bottom" textRotation="0" wrapText="true" indent="0" shrinkToFit="false"/>
      <protection locked="true" hidden="false"/>
    </xf>
    <xf numFmtId="164" fontId="8" fillId="0" borderId="7" xfId="0" applyFont="true" applyBorder="true" applyAlignment="true" applyProtection="false">
      <alignment horizontal="general" vertical="bottom" textRotation="0" wrapText="true" indent="0" shrinkToFit="false"/>
      <protection locked="true" hidden="false"/>
    </xf>
    <xf numFmtId="166" fontId="0" fillId="17" borderId="28" xfId="0" applyFont="false" applyBorder="true" applyAlignment="false" applyProtection="false">
      <alignment horizontal="general" vertical="bottom" textRotation="0" wrapText="false" indent="0" shrinkToFit="false"/>
      <protection locked="true" hidden="false"/>
    </xf>
    <xf numFmtId="164" fontId="42" fillId="0" borderId="0" xfId="0" applyFont="true" applyBorder="false" applyAlignment="false" applyProtection="false">
      <alignment horizontal="general" vertical="bottom" textRotation="0" wrapText="false" indent="0" shrinkToFit="false"/>
      <protection locked="true" hidden="false"/>
    </xf>
    <xf numFmtId="164" fontId="25" fillId="0" borderId="0" xfId="0" applyFont="true" applyBorder="false" applyAlignment="true" applyProtection="false">
      <alignment horizontal="general" vertical="bottom" textRotation="0" wrapText="true" indent="0" shrinkToFit="false"/>
      <protection locked="true" hidden="false"/>
    </xf>
    <xf numFmtId="164" fontId="43" fillId="0" borderId="0" xfId="0" applyFont="true" applyBorder="false" applyAlignment="false" applyProtection="false">
      <alignment horizontal="general" vertical="bottom" textRotation="0" wrapText="false" indent="0" shrinkToFit="false"/>
      <protection locked="true" hidden="false"/>
    </xf>
    <xf numFmtId="164" fontId="44" fillId="0" borderId="0" xfId="0" applyFont="true" applyBorder="false" applyAlignment="false" applyProtection="false">
      <alignment horizontal="general" vertical="bottom" textRotation="0" wrapText="false" indent="0" shrinkToFit="false"/>
      <protection locked="true" hidden="false"/>
    </xf>
    <xf numFmtId="167" fontId="42" fillId="0" borderId="0" xfId="0" applyFont="true" applyBorder="false" applyAlignment="false" applyProtection="false">
      <alignment horizontal="general" vertical="bottom" textRotation="0" wrapText="false" indent="0" shrinkToFit="false"/>
      <protection locked="true" hidden="false"/>
    </xf>
    <xf numFmtId="168" fontId="42" fillId="0" borderId="0" xfId="0" applyFont="true" applyBorder="false" applyAlignment="false" applyProtection="false">
      <alignment horizontal="general" vertical="bottom" textRotation="0" wrapText="false" indent="0" shrinkToFit="false"/>
      <protection locked="true" hidden="false"/>
    </xf>
    <xf numFmtId="164" fontId="22" fillId="0" borderId="0" xfId="0" applyFont="true" applyBorder="true" applyAlignment="true" applyProtection="false">
      <alignment horizontal="left" vertical="bottom" textRotation="0" wrapText="true" indent="0" shrinkToFit="false"/>
      <protection locked="true" hidden="false"/>
    </xf>
    <xf numFmtId="164" fontId="22" fillId="0" borderId="0" xfId="0" applyFont="true" applyBorder="true" applyAlignment="true" applyProtection="false">
      <alignment horizontal="left" vertical="center" textRotation="0" wrapText="true" indent="0" shrinkToFit="false"/>
      <protection locked="true" hidden="false"/>
    </xf>
    <xf numFmtId="164" fontId="8" fillId="0" borderId="0" xfId="0" applyFont="true" applyBorder="true" applyAlignment="true" applyProtection="false">
      <alignment horizontal="left" vertical="bottom" textRotation="0" wrapText="true" indent="0" shrinkToFit="false"/>
      <protection locked="true" hidden="false"/>
    </xf>
    <xf numFmtId="164" fontId="40" fillId="8" borderId="0" xfId="0" applyFont="true" applyBorder="false" applyAlignment="true" applyProtection="false">
      <alignment horizontal="general" vertical="bottom" textRotation="0" wrapText="true" indent="0" shrinkToFit="false"/>
      <protection locked="true" hidden="false"/>
    </xf>
    <xf numFmtId="164" fontId="45" fillId="8" borderId="0" xfId="0" applyFont="true" applyBorder="false" applyAlignment="true" applyProtection="false">
      <alignment horizontal="general" vertical="bottom" textRotation="0" wrapText="true" indent="0" shrinkToFit="false"/>
      <protection locked="true" hidden="false"/>
    </xf>
    <xf numFmtId="164" fontId="46" fillId="0" borderId="0" xfId="0" applyFont="true" applyBorder="false" applyAlignment="false" applyProtection="false">
      <alignment horizontal="general" vertical="bottom" textRotation="0" wrapText="false" indent="0" shrinkToFit="false"/>
      <protection locked="true" hidden="false"/>
    </xf>
    <xf numFmtId="164" fontId="40" fillId="8" borderId="0" xfId="0" applyFont="true" applyBorder="false" applyAlignment="true" applyProtection="false">
      <alignment horizontal="center" vertical="bottom" textRotation="0" wrapText="false" indent="0" shrinkToFit="false"/>
      <protection locked="true" hidden="false"/>
    </xf>
    <xf numFmtId="164" fontId="47" fillId="0" borderId="0" xfId="0" applyFont="true" applyBorder="false" applyAlignment="false" applyProtection="false">
      <alignment horizontal="general" vertical="bottom" textRotation="0" wrapText="false" indent="0" shrinkToFit="false"/>
      <protection locked="true" hidden="false"/>
    </xf>
    <xf numFmtId="164" fontId="0" fillId="22" borderId="0" xfId="0" applyFont="false" applyBorder="false" applyAlignment="false" applyProtection="false">
      <alignment horizontal="general" vertical="bottom" textRotation="0" wrapText="false" indent="0" shrinkToFit="false"/>
      <protection locked="true" hidden="false"/>
    </xf>
    <xf numFmtId="166" fontId="0" fillId="22" borderId="0" xfId="0" applyFont="false" applyBorder="false" applyAlignment="false" applyProtection="false">
      <alignment horizontal="general" vertical="bottom" textRotation="0" wrapText="false" indent="0" shrinkToFit="false"/>
      <protection locked="true" hidden="false"/>
    </xf>
    <xf numFmtId="166" fontId="0" fillId="0" borderId="0" xfId="0" applyFont="true" applyBorder="false" applyAlignment="false" applyProtection="false">
      <alignment horizontal="general" vertical="bottom" textRotation="0" wrapText="false" indent="0" shrinkToFit="false"/>
      <protection locked="true" hidden="false"/>
    </xf>
    <xf numFmtId="164" fontId="8" fillId="17" borderId="0" xfId="0" applyFont="true" applyBorder="false" applyAlignment="false" applyProtection="false">
      <alignment horizontal="general" vertical="bottom" textRotation="0" wrapText="false" indent="0" shrinkToFit="false"/>
      <protection locked="true" hidden="false"/>
    </xf>
    <xf numFmtId="166" fontId="8" fillId="17" borderId="0" xfId="0" applyFont="true" applyBorder="false" applyAlignment="false" applyProtection="false">
      <alignment horizontal="general" vertical="bottom" textRotation="0" wrapText="false" indent="0" shrinkToFit="false"/>
      <protection locked="true" hidden="false"/>
    </xf>
    <xf numFmtId="164" fontId="48" fillId="8" borderId="0" xfId="0" applyFont="true" applyBorder="false" applyAlignment="true" applyProtection="false">
      <alignment horizontal="center" vertical="bottom" textRotation="0" wrapText="false" indent="0" shrinkToFit="false"/>
      <protection locked="true" hidden="false"/>
    </xf>
    <xf numFmtId="164" fontId="49" fillId="8" borderId="0" xfId="0" applyFont="true" applyBorder="false" applyAlignment="false" applyProtection="false">
      <alignment horizontal="general" vertical="bottom" textRotation="0" wrapText="false" indent="0" shrinkToFit="false"/>
      <protection locked="true" hidden="false"/>
    </xf>
    <xf numFmtId="167" fontId="0" fillId="0" borderId="0" xfId="0" applyFont="false" applyBorder="false" applyAlignment="true" applyProtection="false">
      <alignment horizontal="right" vertical="center" textRotation="0" wrapText="true" indent="0" shrinkToFit="false"/>
      <protection locked="true" hidden="false"/>
    </xf>
    <xf numFmtId="164" fontId="7" fillId="16" borderId="0" xfId="0" applyFont="true" applyBorder="false" applyAlignment="true" applyProtection="false">
      <alignment horizontal="center" vertical="center" textRotation="0" wrapText="false" indent="0" shrinkToFit="false"/>
      <protection locked="true" hidden="false"/>
    </xf>
    <xf numFmtId="164" fontId="8" fillId="0" borderId="0" xfId="0" applyFont="true" applyBorder="false" applyAlignment="true" applyProtection="false">
      <alignment horizontal="right" vertical="bottom" textRotation="0" wrapText="false" indent="0" shrinkToFit="false"/>
      <protection locked="true" hidden="false"/>
    </xf>
    <xf numFmtId="164" fontId="0" fillId="23" borderId="0" xfId="0" applyFont="false" applyBorder="false" applyAlignment="false" applyProtection="false">
      <alignment horizontal="general" vertical="bottom" textRotation="0" wrapText="false" indent="0" shrinkToFit="false"/>
      <protection locked="true" hidden="false"/>
    </xf>
    <xf numFmtId="164" fontId="50" fillId="0" borderId="0" xfId="0" applyFont="true" applyBorder="false" applyAlignment="false" applyProtection="false">
      <alignment horizontal="general" vertical="bottom" textRotation="0" wrapText="false" indent="0" shrinkToFit="false"/>
      <protection locked="true" hidden="false"/>
    </xf>
    <xf numFmtId="167" fontId="50" fillId="0" borderId="0" xfId="0" applyFont="true" applyBorder="false" applyAlignment="false" applyProtection="false">
      <alignment horizontal="general" vertical="bottom" textRotation="0" wrapText="false" indent="0" shrinkToFit="false"/>
      <protection locked="true" hidden="false"/>
    </xf>
    <xf numFmtId="164" fontId="22" fillId="0" borderId="0" xfId="0" applyFont="true" applyBorder="false" applyAlignment="true" applyProtection="false">
      <alignment horizontal="general" vertical="bottom" textRotation="0" wrapText="true" indent="0" shrinkToFit="false"/>
      <protection locked="true" hidden="false"/>
    </xf>
    <xf numFmtId="164" fontId="0" fillId="0" borderId="0" xfId="0" applyFont="true" applyBorder="true" applyAlignment="true" applyProtection="false">
      <alignment horizontal="center" vertical="top" textRotation="0" wrapText="true" indent="0" shrinkToFit="false"/>
      <protection locked="true" hidden="false"/>
    </xf>
    <xf numFmtId="170" fontId="0" fillId="0" borderId="0" xfId="0" applyFont="false" applyBorder="false" applyAlignment="false" applyProtection="false">
      <alignment horizontal="general" vertical="bottom" textRotation="0" wrapText="false" indent="0" shrinkToFit="false"/>
      <protection locked="true" hidden="false"/>
    </xf>
    <xf numFmtId="164" fontId="0" fillId="0" borderId="28" xfId="0" applyFont="true" applyBorder="tru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false">
      <alignment horizontal="center" vertical="top" textRotation="0" wrapText="true" indent="0" shrinkToFit="false"/>
      <protection locked="true" hidden="false"/>
    </xf>
    <xf numFmtId="168" fontId="0" fillId="0" borderId="0" xfId="0" applyFont="false" applyBorder="false" applyAlignment="true" applyProtection="false">
      <alignment horizontal="right" vertical="center" textRotation="0" wrapText="true" indent="0" shrinkToFit="false"/>
      <protection locked="true" hidden="false"/>
    </xf>
    <xf numFmtId="164" fontId="8" fillId="24" borderId="0" xfId="0" applyFont="true" applyBorder="false" applyAlignment="true" applyProtection="false">
      <alignment horizontal="left" vertical="top" textRotation="0" wrapText="true" indent="0" shrinkToFit="false"/>
      <protection locked="true" hidden="false"/>
    </xf>
    <xf numFmtId="164" fontId="51" fillId="0" borderId="0" xfId="0" applyFont="true" applyBorder="false" applyAlignment="false" applyProtection="false">
      <alignment horizontal="general" vertical="bottom" textRotation="0" wrapText="false" indent="0" shrinkToFit="false"/>
      <protection locked="true" hidden="false"/>
    </xf>
    <xf numFmtId="164" fontId="22" fillId="0" borderId="0" xfId="0" applyFont="true" applyBorder="false" applyAlignment="true" applyProtection="false">
      <alignment horizontal="general" vertical="center" textRotation="0" wrapText="true" indent="0" shrinkToFit="false"/>
      <protection locked="true" hidden="false"/>
    </xf>
    <xf numFmtId="164" fontId="22" fillId="0" borderId="0" xfId="0" applyFont="true" applyBorder="false" applyAlignment="true" applyProtection="false">
      <alignment horizontal="general" vertical="center" textRotation="0" wrapText="false" indent="0" shrinkToFit="false"/>
      <protection locked="true" hidden="false"/>
    </xf>
    <xf numFmtId="164" fontId="22" fillId="0" borderId="0" xfId="0" applyFont="true" applyBorder="false" applyAlignment="true" applyProtection="false">
      <alignment horizontal="left" vertical="center" textRotation="0" wrapText="false" indent="0" shrinkToFit="false"/>
      <protection locked="true" hidden="false"/>
    </xf>
    <xf numFmtId="164" fontId="52" fillId="0" borderId="0" xfId="0" applyFont="true" applyBorder="false" applyAlignment="true" applyProtection="false">
      <alignment horizontal="left" vertical="top" textRotation="0" wrapText="true" indent="0" shrinkToFit="false"/>
      <protection locked="true" hidden="false"/>
    </xf>
    <xf numFmtId="168" fontId="23" fillId="0" borderId="0" xfId="0" applyFont="true" applyBorder="false" applyAlignment="true" applyProtection="false">
      <alignment horizontal="right" vertical="center" textRotation="0" wrapText="true" indent="0" shrinkToFit="false"/>
      <protection locked="true" hidden="false"/>
    </xf>
    <xf numFmtId="164" fontId="53" fillId="0" borderId="0" xfId="0" applyFont="true" applyBorder="false" applyAlignment="true" applyProtection="false">
      <alignment horizontal="general" vertical="center" textRotation="0" wrapText="false" indent="0" shrinkToFit="false"/>
      <protection locked="true" hidden="false"/>
    </xf>
    <xf numFmtId="164" fontId="9" fillId="8" borderId="0" xfId="0" applyFont="true" applyBorder="false" applyAlignment="false" applyProtection="false">
      <alignment horizontal="general" vertical="bottom" textRotation="0" wrapText="false" indent="0" shrinkToFit="false"/>
      <protection locked="true" hidden="false"/>
    </xf>
    <xf numFmtId="167" fontId="8" fillId="17" borderId="0" xfId="0" applyFont="true" applyBorder="false" applyAlignment="false" applyProtection="false">
      <alignment horizontal="general" vertical="bottom" textRotation="0" wrapText="false" indent="0" shrinkToFit="false"/>
      <protection locked="true" hidden="false"/>
    </xf>
    <xf numFmtId="164" fontId="8" fillId="8" borderId="0" xfId="0" applyFont="true" applyBorder="true" applyAlignment="true" applyProtection="false">
      <alignment horizontal="center" vertical="bottom" textRotation="0" wrapText="false" indent="0" shrinkToFit="false"/>
      <protection locked="true" hidden="false"/>
    </xf>
    <xf numFmtId="166" fontId="47" fillId="0" borderId="0" xfId="0" applyFont="true" applyBorder="false" applyAlignment="false" applyProtection="false">
      <alignment horizontal="general" vertical="bottom" textRotation="0" wrapText="false" indent="0" shrinkToFit="false"/>
      <protection locked="true" hidden="false"/>
    </xf>
    <xf numFmtId="164" fontId="8" fillId="0" borderId="0" xfId="0" applyFont="true" applyBorder="false" applyAlignment="true" applyProtection="false">
      <alignment horizontal="center" vertical="bottom" textRotation="0" wrapText="true" indent="0" shrinkToFit="false"/>
      <protection locked="true" hidden="false"/>
    </xf>
    <xf numFmtId="164" fontId="8" fillId="8" borderId="1" xfId="0" applyFont="true" applyBorder="true" applyAlignment="false" applyProtection="false">
      <alignment horizontal="general" vertical="bottom" textRotation="0" wrapText="false" indent="0" shrinkToFit="false"/>
      <protection locked="true" hidden="false"/>
    </xf>
    <xf numFmtId="164" fontId="8" fillId="8" borderId="9" xfId="0" applyFont="true" applyBorder="true" applyAlignment="false" applyProtection="false">
      <alignment horizontal="general" vertical="bottom" textRotation="0" wrapText="false" indent="0" shrinkToFit="false"/>
      <protection locked="true" hidden="false"/>
    </xf>
    <xf numFmtId="164" fontId="54" fillId="0" borderId="0" xfId="0" applyFont="true" applyBorder="false" applyAlignment="true" applyProtection="false">
      <alignment horizontal="right" vertical="bottom" textRotation="0" wrapText="false" indent="0" shrinkToFit="false"/>
      <protection locked="true" hidden="false"/>
    </xf>
    <xf numFmtId="164" fontId="0" fillId="0" borderId="12" xfId="0" applyFont="true" applyBorder="true" applyAlignment="false" applyProtection="false">
      <alignment horizontal="general" vertical="bottom" textRotation="0" wrapText="false" indent="0" shrinkToFit="false"/>
      <protection locked="true" hidden="false"/>
    </xf>
    <xf numFmtId="168" fontId="0" fillId="0" borderId="1" xfId="0" applyFont="false" applyBorder="true" applyAlignment="false" applyProtection="false">
      <alignment horizontal="general" vertical="bottom" textRotation="0" wrapText="false" indent="0" shrinkToFit="false"/>
      <protection locked="true" hidden="false"/>
    </xf>
    <xf numFmtId="166" fontId="54" fillId="0" borderId="0" xfId="0" applyFont="true" applyBorder="false" applyAlignment="false" applyProtection="false">
      <alignment horizontal="general" vertical="bottom" textRotation="0" wrapText="false" indent="0" shrinkToFit="false"/>
      <protection locked="true" hidden="false"/>
    </xf>
    <xf numFmtId="164" fontId="0" fillId="0" borderId="31" xfId="0" applyFont="true" applyBorder="true" applyAlignment="false" applyProtection="false">
      <alignment horizontal="general" vertical="bottom" textRotation="0" wrapText="false" indent="0" shrinkToFit="false"/>
      <protection locked="true" hidden="false"/>
    </xf>
    <xf numFmtId="170" fontId="0" fillId="0" borderId="1" xfId="0" applyFont="false" applyBorder="true" applyAlignment="false" applyProtection="false">
      <alignment horizontal="general" vertical="bottom" textRotation="0" wrapText="false" indent="0" shrinkToFit="false"/>
      <protection locked="true" hidden="false"/>
    </xf>
    <xf numFmtId="171" fontId="0" fillId="0" borderId="0" xfId="0" applyFont="false" applyBorder="false" applyAlignment="false" applyProtection="false">
      <alignment horizontal="general" vertical="bottom" textRotation="0" wrapText="false" indent="0" shrinkToFit="false"/>
      <protection locked="true" hidden="false"/>
    </xf>
    <xf numFmtId="170" fontId="8" fillId="8" borderId="32" xfId="0" applyFont="true" applyBorder="true" applyAlignment="false" applyProtection="false">
      <alignment horizontal="general" vertical="bottom" textRotation="0" wrapText="false" indent="0" shrinkToFit="false"/>
      <protection locked="true" hidden="false"/>
    </xf>
    <xf numFmtId="170" fontId="0" fillId="0" borderId="26" xfId="0" applyFont="false" applyBorder="true" applyAlignment="false" applyProtection="false">
      <alignment horizontal="general" vertical="bottom" textRotation="0" wrapText="false" indent="0" shrinkToFit="false"/>
      <protection locked="true" hidden="false"/>
    </xf>
    <xf numFmtId="167" fontId="0" fillId="0" borderId="13" xfId="0" applyFont="false" applyBorder="true" applyAlignment="false" applyProtection="false">
      <alignment horizontal="general" vertical="bottom" textRotation="0" wrapText="false" indent="0" shrinkToFit="false"/>
      <protection locked="true" hidden="false"/>
    </xf>
    <xf numFmtId="167" fontId="47" fillId="0" borderId="0" xfId="0" applyFont="true" applyBorder="false" applyAlignment="false" applyProtection="false">
      <alignment horizontal="general" vertical="bottom" textRotation="0" wrapText="false" indent="0" shrinkToFit="false"/>
      <protection locked="true" hidden="false"/>
    </xf>
    <xf numFmtId="167" fontId="0" fillId="17" borderId="0" xfId="0" applyFont="false" applyBorder="false" applyAlignment="false" applyProtection="false">
      <alignment horizontal="general" vertical="bottom" textRotation="0" wrapText="false" indent="0" shrinkToFit="false"/>
      <protection locked="true" hidden="false"/>
    </xf>
    <xf numFmtId="167" fontId="0" fillId="17" borderId="13" xfId="0" applyFont="false" applyBorder="true" applyAlignment="false" applyProtection="false">
      <alignment horizontal="general" vertical="bottom" textRotation="0" wrapText="false" indent="0" shrinkToFit="false"/>
      <protection locked="true" hidden="false"/>
    </xf>
    <xf numFmtId="167" fontId="0" fillId="0" borderId="32" xfId="0" applyFont="false" applyBorder="true" applyAlignment="false" applyProtection="false">
      <alignment horizontal="general" vertical="bottom" textRotation="0" wrapText="false" indent="0" shrinkToFit="false"/>
      <protection locked="true" hidden="false"/>
    </xf>
    <xf numFmtId="167" fontId="0" fillId="0" borderId="33" xfId="0" applyFont="false" applyBorder="true" applyAlignment="false" applyProtection="false">
      <alignment horizontal="general" vertical="bottom" textRotation="0" wrapText="false" indent="0" shrinkToFit="false"/>
      <protection locked="true" hidden="false"/>
    </xf>
    <xf numFmtId="164" fontId="8" fillId="8" borderId="8" xfId="0" applyFont="true" applyBorder="true" applyAlignment="false" applyProtection="false">
      <alignment horizontal="general" vertical="bottom" textRotation="0" wrapText="false" indent="0" shrinkToFit="false"/>
      <protection locked="true" hidden="false"/>
    </xf>
    <xf numFmtId="170" fontId="0" fillId="0" borderId="8" xfId="0" applyFont="false" applyBorder="true" applyAlignment="false" applyProtection="false">
      <alignment horizontal="general" vertical="bottom" textRotation="0" wrapText="false" indent="0" shrinkToFit="false"/>
      <protection locked="true" hidden="false"/>
    </xf>
    <xf numFmtId="164" fontId="0" fillId="0" borderId="9" xfId="0" applyFont="false" applyBorder="true" applyAlignment="false" applyProtection="false">
      <alignment horizontal="general" vertical="bottom" textRotation="0" wrapText="false" indent="0" shrinkToFit="false"/>
      <protection locked="true" hidden="false"/>
    </xf>
    <xf numFmtId="166" fontId="0" fillId="0" borderId="9" xfId="0" applyFont="false" applyBorder="true" applyAlignment="false" applyProtection="false">
      <alignment horizontal="general" vertical="bottom" textRotation="0" wrapText="false" indent="0" shrinkToFit="false"/>
      <protection locked="true" hidden="false"/>
    </xf>
    <xf numFmtId="166" fontId="0" fillId="0" borderId="11" xfId="0" applyFont="false" applyBorder="true" applyAlignment="false" applyProtection="false">
      <alignment horizontal="general" vertical="bottom" textRotation="0" wrapText="false" indent="0" shrinkToFit="false"/>
      <protection locked="true" hidden="false"/>
    </xf>
    <xf numFmtId="166" fontId="0" fillId="0" borderId="13" xfId="0" applyFont="false" applyBorder="true" applyAlignment="false" applyProtection="false">
      <alignment horizontal="general" vertical="bottom" textRotation="0" wrapText="false" indent="0" shrinkToFit="false"/>
      <protection locked="true" hidden="false"/>
    </xf>
    <xf numFmtId="170" fontId="0" fillId="0" borderId="27" xfId="0" applyFont="false" applyBorder="true" applyAlignment="false" applyProtection="false">
      <alignment horizontal="general" vertical="bottom" textRotation="0" wrapText="false" indent="0" shrinkToFit="false"/>
      <protection locked="true" hidden="false"/>
    </xf>
    <xf numFmtId="166" fontId="0" fillId="0" borderId="15" xfId="0" applyFont="false" applyBorder="true" applyAlignment="false" applyProtection="false">
      <alignment horizontal="general" vertical="bottom" textRotation="0" wrapText="false" indent="0" shrinkToFit="false"/>
      <protection locked="true" hidden="false"/>
    </xf>
    <xf numFmtId="166" fontId="0" fillId="0" borderId="16" xfId="0" applyFont="false" applyBorder="true" applyAlignment="false" applyProtection="false">
      <alignment horizontal="general" vertical="bottom" textRotation="0" wrapText="false" indent="0" shrinkToFit="false"/>
      <protection locked="true" hidden="false"/>
    </xf>
    <xf numFmtId="172" fontId="0" fillId="0" borderId="0" xfId="0" applyFont="false" applyBorder="false" applyAlignment="true" applyProtection="false">
      <alignment horizontal="general" vertical="bottom" textRotation="0" wrapText="true" indent="0" shrinkToFit="false"/>
      <protection locked="true" hidden="false"/>
    </xf>
    <xf numFmtId="171" fontId="0" fillId="17" borderId="0" xfId="0" applyFont="false" applyBorder="false" applyAlignment="false" applyProtection="false">
      <alignment horizontal="general" vertical="bottom" textRotation="0" wrapText="false" indent="0" shrinkToFit="false"/>
      <protection locked="true" hidden="false"/>
    </xf>
    <xf numFmtId="173" fontId="13" fillId="20" borderId="29" xfId="0" applyFont="true" applyBorder="true" applyAlignment="false" applyProtection="false">
      <alignment horizontal="general" vertical="bottom" textRotation="0" wrapText="false" indent="0" shrinkToFit="false"/>
      <protection locked="true" hidden="false"/>
    </xf>
    <xf numFmtId="171" fontId="8" fillId="17" borderId="0" xfId="0" applyFont="true" applyBorder="false" applyAlignment="false" applyProtection="false">
      <alignment horizontal="general" vertical="bottom" textRotation="0" wrapText="false" indent="0" shrinkToFit="false"/>
      <protection locked="true" hidden="false"/>
    </xf>
    <xf numFmtId="172" fontId="0" fillId="0" borderId="0" xfId="0" applyFont="false" applyBorder="false" applyAlignment="false" applyProtection="false">
      <alignment horizontal="general" vertical="bottom" textRotation="0" wrapText="false" indent="0" shrinkToFit="false"/>
      <protection locked="true" hidden="false"/>
    </xf>
    <xf numFmtId="164" fontId="15" fillId="8" borderId="0" xfId="0" applyFont="true" applyBorder="false" applyAlignment="false" applyProtection="false">
      <alignment horizontal="general" vertical="bottom" textRotation="0" wrapText="false" indent="0" shrinkToFit="false"/>
      <protection locked="true" hidden="false"/>
    </xf>
    <xf numFmtId="164" fontId="8" fillId="0" borderId="0" xfId="0" applyFont="true" applyBorder="true" applyAlignment="true" applyProtection="false">
      <alignment horizontal="center" vertical="bottom" textRotation="0" wrapText="false" indent="0" shrinkToFit="false"/>
      <protection locked="true" hidden="false"/>
    </xf>
    <xf numFmtId="169" fontId="17" fillId="0" borderId="0" xfId="0" applyFont="true" applyBorder="false" applyAlignment="false" applyProtection="false">
      <alignment horizontal="general" vertical="bottom" textRotation="0" wrapText="false" indent="0" shrinkToFit="false"/>
      <protection locked="true" hidden="false"/>
    </xf>
    <xf numFmtId="167" fontId="17" fillId="0" borderId="0" xfId="0" applyFont="true" applyBorder="false" applyAlignment="false" applyProtection="false">
      <alignment horizontal="general" vertical="bottom" textRotation="0" wrapText="false" indent="0" shrinkToFit="false"/>
      <protection locked="true" hidden="false"/>
    </xf>
    <xf numFmtId="164" fontId="17" fillId="0" borderId="0" xfId="0" applyFont="true" applyBorder="false" applyAlignment="false" applyProtection="false">
      <alignment horizontal="general" vertical="bottom" textRotation="0" wrapText="false" indent="0" shrinkToFit="false"/>
      <protection locked="true" hidden="false"/>
    </xf>
    <xf numFmtId="166" fontId="55" fillId="0" borderId="0" xfId="0" applyFont="true" applyBorder="false" applyAlignment="false" applyProtection="false">
      <alignment horizontal="general" vertical="bottom" textRotation="0" wrapText="false" indent="0" shrinkToFit="false"/>
      <protection locked="true" hidden="false"/>
    </xf>
    <xf numFmtId="166" fontId="55" fillId="17" borderId="0" xfId="0" applyFont="true" applyBorder="false" applyAlignment="false" applyProtection="false">
      <alignment horizontal="general" vertical="bottom" textRotation="0" wrapText="false" indent="0" shrinkToFit="false"/>
      <protection locked="true" hidden="false"/>
    </xf>
  </cellXfs>
  <cellStyles count="11">
    <cellStyle name="Normal" xfId="0" builtinId="0"/>
    <cellStyle name="Comma" xfId="15" builtinId="3"/>
    <cellStyle name="Comma [0]" xfId="16" builtinId="6"/>
    <cellStyle name="Currency" xfId="17" builtinId="4"/>
    <cellStyle name="Currency [0]" xfId="18" builtinId="7"/>
    <cellStyle name="Percent" xfId="19" builtinId="5"/>
    <cellStyle name="Hyperlink 1" xfId="20"/>
    <cellStyle name="Hyperlink 2" xfId="21"/>
    <cellStyle name="Hyperlink 3" xfId="22"/>
    <cellStyle name="Hyperlink 4" xfId="23"/>
    <cellStyle name="Hyperlink 5" xfId="24"/>
  </cellStyles>
  <dxfs count="7">
    <dxf>
      <fill>
        <patternFill patternType="solid">
          <fgColor rgb="FFE2EFDA"/>
        </patternFill>
      </fill>
    </dxf>
    <dxf>
      <fill>
        <patternFill patternType="solid">
          <fgColor rgb="00FFFFFF"/>
        </patternFill>
      </fill>
    </dxf>
    <dxf>
      <fill>
        <patternFill patternType="solid">
          <fgColor rgb="FFF7F7F7"/>
          <bgColor rgb="FF272727"/>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s>
  <colors>
    <indexedColors>
      <rgbColor rgb="FF000000"/>
      <rgbColor rgb="FFFFFFFF"/>
      <rgbColor rgb="FFFF0000"/>
      <rgbColor rgb="FF00FF00"/>
      <rgbColor rgb="FF0000FF"/>
      <rgbColor rgb="FFFFFF00"/>
      <rgbColor rgb="FFFF00FF"/>
      <rgbColor rgb="FF00FFFF"/>
      <rgbColor rgb="FF9C0006"/>
      <rgbColor rgb="FF006100"/>
      <rgbColor rgb="FF000080"/>
      <rgbColor rgb="FF548235"/>
      <rgbColor rgb="FF800080"/>
      <rgbColor rgb="FF008080"/>
      <rgbColor rgb="FFBFBFBF"/>
      <rgbColor rgb="FF808080"/>
      <rgbColor rgb="FFA6A6A6"/>
      <rgbColor rgb="FF595959"/>
      <rgbColor rgb="FFFFF2CC"/>
      <rgbColor rgb="FFDDEBF7"/>
      <rgbColor rgb="FF660066"/>
      <rgbColor rgb="FFFF8C8C"/>
      <rgbColor rgb="FF0563C1"/>
      <rgbColor rgb="FFD0CECE"/>
      <rgbColor rgb="FF000080"/>
      <rgbColor rgb="FFFF00FF"/>
      <rgbColor rgb="FFE7E6E6"/>
      <rgbColor rgb="FF00FFFF"/>
      <rgbColor rgb="FF800080"/>
      <rgbColor rgb="FFC00000"/>
      <rgbColor rgb="FF008080"/>
      <rgbColor rgb="FF0000FF"/>
      <rgbColor rgb="FF00B0F0"/>
      <rgbColor rgb="FFE2EFDA"/>
      <rgbColor rgb="FFC6EFCE"/>
      <rgbColor rgb="FFEDEDED"/>
      <rgbColor rgb="FFA9D08E"/>
      <rgbColor rgb="FFFFC7CE"/>
      <rgbColor rgb="FFAEAAAA"/>
      <rgbColor rgb="FFF8CBAD"/>
      <rgbColor rgb="FF4472C4"/>
      <rgbColor rgb="FF33CCCC"/>
      <rgbColor rgb="FFD9D9D9"/>
      <rgbColor rgb="FFFFD966"/>
      <rgbColor rgb="FFDBDBDB"/>
      <rgbColor rgb="FFED7D31"/>
      <rgbColor rgb="FF757171"/>
      <rgbColor rgb="FFA5A5A5"/>
      <rgbColor rgb="FF003366"/>
      <rgbColor rgb="FF70AD47"/>
      <rgbColor rgb="FF003300"/>
      <rgbColor rgb="FF444444"/>
      <rgbColor rgb="FF993300"/>
      <rgbColor rgb="FF993366"/>
      <rgbColor rgb="FF44546A"/>
      <rgbColor rgb="FF333333"/>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worksheet" Target="worksheets/sheet13.xml"/><Relationship Id="rId15" Type="http://schemas.openxmlformats.org/officeDocument/2006/relationships/worksheet" Target="worksheets/sheet14.xml"/><Relationship Id="rId16" Type="http://schemas.openxmlformats.org/officeDocument/2006/relationships/worksheet" Target="worksheets/sheet15.xml"/><Relationship Id="rId17" Type="http://schemas.openxmlformats.org/officeDocument/2006/relationships/worksheet" Target="worksheets/sheet16.xml"/><Relationship Id="rId18" Type="http://schemas.openxmlformats.org/officeDocument/2006/relationships/worksheet" Target="worksheets/sheet17.xml"/><Relationship Id="rId19" Type="http://schemas.openxmlformats.org/officeDocument/2006/relationships/worksheet" Target="worksheets/sheet18.xml"/><Relationship Id="rId20" Type="http://schemas.openxmlformats.org/officeDocument/2006/relationships/worksheet" Target="worksheets/sheet19.xml"/><Relationship Id="rId21" Type="http://schemas.openxmlformats.org/officeDocument/2006/relationships/worksheet" Target="worksheets/sheet20.xml"/><Relationship Id="rId22" Type="http://schemas.openxmlformats.org/officeDocument/2006/relationships/worksheet" Target="worksheets/sheet21.xml"/><Relationship Id="rId23" Type="http://schemas.openxmlformats.org/officeDocument/2006/relationships/worksheet" Target="worksheets/sheet22.xml"/><Relationship Id="rId24" Type="http://schemas.openxmlformats.org/officeDocument/2006/relationships/worksheet" Target="worksheets/sheet23.xml"/><Relationship Id="rId25" Type="http://schemas.openxmlformats.org/officeDocument/2006/relationships/worksheet" Target="worksheets/sheet24.xml"/><Relationship Id="rId26" Type="http://schemas.openxmlformats.org/officeDocument/2006/relationships/worksheet" Target="worksheets/sheet25.xml"/><Relationship Id="rId27" Type="http://schemas.openxmlformats.org/officeDocument/2006/relationships/worksheet" Target="worksheets/sheet26.xml"/><Relationship Id="rId28" Type="http://schemas.openxmlformats.org/officeDocument/2006/relationships/worksheet" Target="worksheets/sheet27.xml"/><Relationship Id="rId29" Type="http://schemas.openxmlformats.org/officeDocument/2006/relationships/worksheet" Target="worksheets/sheet28.xml"/><Relationship Id="rId30" Type="http://schemas.openxmlformats.org/officeDocument/2006/relationships/worksheet" Target="worksheets/sheet29.xml"/><Relationship Id="rId31" Type="http://schemas.openxmlformats.org/officeDocument/2006/relationships/worksheet" Target="worksheets/sheet30.xml"/><Relationship Id="rId32" Type="http://schemas.openxmlformats.org/officeDocument/2006/relationships/worksheet" Target="worksheets/sheet31.xml"/><Relationship Id="rId33" Type="http://schemas.openxmlformats.org/officeDocument/2006/relationships/worksheet" Target="worksheets/sheet32.xml"/><Relationship Id="rId34" Type="http://schemas.openxmlformats.org/officeDocument/2006/relationships/worksheet" Target="worksheets/sheet33.xml"/><Relationship Id="rId35" Type="http://schemas.openxmlformats.org/officeDocument/2006/relationships/worksheet" Target="worksheets/sheet34.xml"/><Relationship Id="rId36" Type="http://schemas.openxmlformats.org/officeDocument/2006/relationships/worksheet" Target="worksheets/sheet35.xml"/><Relationship Id="rId37" Type="http://schemas.openxmlformats.org/officeDocument/2006/relationships/worksheet" Target="worksheets/sheet36.xml"/><Relationship Id="rId38" Type="http://schemas.openxmlformats.org/officeDocument/2006/relationships/worksheet" Target="worksheets/sheet37.xml"/><Relationship Id="rId39" Type="http://schemas.openxmlformats.org/officeDocument/2006/relationships/worksheet" Target="worksheets/sheet38.xml"/><Relationship Id="rId40" Type="http://schemas.openxmlformats.org/officeDocument/2006/relationships/worksheet" Target="worksheets/sheet39.xml"/><Relationship Id="rId41" Type="http://schemas.openxmlformats.org/officeDocument/2006/relationships/worksheet" Target="worksheets/sheet40.xml"/><Relationship Id="rId42" Type="http://schemas.openxmlformats.org/officeDocument/2006/relationships/sharedStrings" Target="sharedStrings.xml"/>
</Relationships>
</file>

<file path=xl/drawings/_rels/drawing10.xml.rels><?xml version="1.0" encoding="UTF-8"?>
<Relationships xmlns="http://schemas.openxmlformats.org/package/2006/relationships"><Relationship Id="rId1" Type="http://schemas.openxmlformats.org/officeDocument/2006/relationships/image" Target="../media/image35.png"/><Relationship Id="rId2" Type="http://schemas.openxmlformats.org/officeDocument/2006/relationships/image" Target="../media/image36.png"/><Relationship Id="rId3" Type="http://schemas.openxmlformats.org/officeDocument/2006/relationships/image" Target="../media/image37.png"/><Relationship Id="rId4" Type="http://schemas.openxmlformats.org/officeDocument/2006/relationships/image" Target="../media/image38.png"/>
</Relationships>
</file>

<file path=xl/drawings/_rels/drawing11.xml.rels><?xml version="1.0" encoding="UTF-8"?>
<Relationships xmlns="http://schemas.openxmlformats.org/package/2006/relationships"><Relationship Id="rId1" Type="http://schemas.openxmlformats.org/officeDocument/2006/relationships/image" Target="../media/image39.png"/><Relationship Id="rId2" Type="http://schemas.openxmlformats.org/officeDocument/2006/relationships/image" Target="../media/image40.png"/><Relationship Id="rId3" Type="http://schemas.openxmlformats.org/officeDocument/2006/relationships/image" Target="../media/image41.png"/>
</Relationships>
</file>

<file path=xl/drawings/_rels/drawing12.xml.rels><?xml version="1.0" encoding="UTF-8"?>
<Relationships xmlns="http://schemas.openxmlformats.org/package/2006/relationships"><Relationship Id="rId1" Type="http://schemas.openxmlformats.org/officeDocument/2006/relationships/image" Target="../media/image42.png"/>
</Relationships>
</file>

<file path=xl/drawings/_rels/drawing13.xml.rels><?xml version="1.0" encoding="UTF-8"?>
<Relationships xmlns="http://schemas.openxmlformats.org/package/2006/relationships"><Relationship Id="rId1" Type="http://schemas.openxmlformats.org/officeDocument/2006/relationships/image" Target="../media/image43.png"/><Relationship Id="rId2" Type="http://schemas.openxmlformats.org/officeDocument/2006/relationships/image" Target="../media/image44.png"/>
</Relationships>
</file>

<file path=xl/drawings/_rels/drawing14.xml.rels><?xml version="1.0" encoding="UTF-8"?>
<Relationships xmlns="http://schemas.openxmlformats.org/package/2006/relationships"><Relationship Id="rId1" Type="http://schemas.openxmlformats.org/officeDocument/2006/relationships/image" Target="../media/image45.png"/><Relationship Id="rId2" Type="http://schemas.openxmlformats.org/officeDocument/2006/relationships/image" Target="../media/image46.png"/><Relationship Id="rId3" Type="http://schemas.openxmlformats.org/officeDocument/2006/relationships/image" Target="../media/image47.png"/><Relationship Id="rId4" Type="http://schemas.openxmlformats.org/officeDocument/2006/relationships/image" Target="../media/image48.png"/><Relationship Id="rId5" Type="http://schemas.openxmlformats.org/officeDocument/2006/relationships/image" Target="../media/image49.png"/><Relationship Id="rId6" Type="http://schemas.openxmlformats.org/officeDocument/2006/relationships/image" Target="../media/image50.png"/>
</Relationships>
</file>

<file path=xl/drawings/_rels/drawing15.xml.rels><?xml version="1.0" encoding="UTF-8"?>
<Relationships xmlns="http://schemas.openxmlformats.org/package/2006/relationships"><Relationship Id="rId1" Type="http://schemas.openxmlformats.org/officeDocument/2006/relationships/image" Target="../media/image51.png"/>
</Relationships>
</file>

<file path=xl/drawings/_rels/drawing16.xml.rels><?xml version="1.0" encoding="UTF-8"?>
<Relationships xmlns="http://schemas.openxmlformats.org/package/2006/relationships"><Relationship Id="rId1" Type="http://schemas.openxmlformats.org/officeDocument/2006/relationships/image" Target="../media/image52.png"/><Relationship Id="rId2" Type="http://schemas.openxmlformats.org/officeDocument/2006/relationships/image" Target="../media/image53.png"/><Relationship Id="rId3" Type="http://schemas.openxmlformats.org/officeDocument/2006/relationships/image" Target="../media/image54.png"/><Relationship Id="rId4" Type="http://schemas.openxmlformats.org/officeDocument/2006/relationships/image" Target="../media/image55.png"/><Relationship Id="rId5" Type="http://schemas.openxmlformats.org/officeDocument/2006/relationships/image" Target="../media/image56.png"/><Relationship Id="rId6" Type="http://schemas.openxmlformats.org/officeDocument/2006/relationships/image" Target="../media/image57.png"/><Relationship Id="rId7" Type="http://schemas.openxmlformats.org/officeDocument/2006/relationships/image" Target="../media/image58.png"/><Relationship Id="rId8" Type="http://schemas.openxmlformats.org/officeDocument/2006/relationships/image" Target="../media/image59.png"/><Relationship Id="rId9" Type="http://schemas.openxmlformats.org/officeDocument/2006/relationships/image" Target="../media/image60.png"/><Relationship Id="rId10" Type="http://schemas.openxmlformats.org/officeDocument/2006/relationships/image" Target="../media/image61.png"/><Relationship Id="rId11" Type="http://schemas.openxmlformats.org/officeDocument/2006/relationships/image" Target="../media/image62.png"/><Relationship Id="rId12" Type="http://schemas.openxmlformats.org/officeDocument/2006/relationships/image" Target="../media/image63.png"/><Relationship Id="rId13" Type="http://schemas.openxmlformats.org/officeDocument/2006/relationships/image" Target="../media/image64.png"/>
</Relationships>
</file>

<file path=xl/drawings/_rels/drawing17.xml.rels><?xml version="1.0" encoding="UTF-8"?>
<Relationships xmlns="http://schemas.openxmlformats.org/package/2006/relationships"><Relationship Id="rId1" Type="http://schemas.openxmlformats.org/officeDocument/2006/relationships/image" Target="../media/image65.png"/><Relationship Id="rId2" Type="http://schemas.openxmlformats.org/officeDocument/2006/relationships/image" Target="../media/image66.png"/><Relationship Id="rId3" Type="http://schemas.openxmlformats.org/officeDocument/2006/relationships/image" Target="../media/image67.png"/><Relationship Id="rId4" Type="http://schemas.openxmlformats.org/officeDocument/2006/relationships/image" Target="../media/image68.png"/><Relationship Id="rId5" Type="http://schemas.openxmlformats.org/officeDocument/2006/relationships/image" Target="../media/image69.png"/><Relationship Id="rId6" Type="http://schemas.openxmlformats.org/officeDocument/2006/relationships/image" Target="../media/image70.png"/><Relationship Id="rId7" Type="http://schemas.openxmlformats.org/officeDocument/2006/relationships/image" Target="../media/image71.png"/>
</Relationships>
</file>

<file path=xl/drawings/_rels/drawing18.xml.rels><?xml version="1.0" encoding="UTF-8"?>
<Relationships xmlns="http://schemas.openxmlformats.org/package/2006/relationships"><Relationship Id="rId1" Type="http://schemas.openxmlformats.org/officeDocument/2006/relationships/image" Target="../media/image72.png"/><Relationship Id="rId2" Type="http://schemas.openxmlformats.org/officeDocument/2006/relationships/image" Target="../media/image73.png"/><Relationship Id="rId3" Type="http://schemas.openxmlformats.org/officeDocument/2006/relationships/image" Target="../media/image74.png"/>
</Relationships>
</file>

<file path=xl/drawings/_rels/drawing19.xml.rels><?xml version="1.0" encoding="UTF-8"?>
<Relationships xmlns="http://schemas.openxmlformats.org/package/2006/relationships"><Relationship Id="rId1" Type="http://schemas.openxmlformats.org/officeDocument/2006/relationships/image" Target="../media/image75.png"/><Relationship Id="rId2" Type="http://schemas.openxmlformats.org/officeDocument/2006/relationships/image" Target="../media/image76.png"/><Relationship Id="rId3" Type="http://schemas.openxmlformats.org/officeDocument/2006/relationships/image" Target="../media/image77.png"/><Relationship Id="rId4" Type="http://schemas.openxmlformats.org/officeDocument/2006/relationships/image" Target="../media/image78.png"/><Relationship Id="rId5" Type="http://schemas.openxmlformats.org/officeDocument/2006/relationships/image" Target="../media/image79.png"/><Relationship Id="rId6" Type="http://schemas.openxmlformats.org/officeDocument/2006/relationships/image" Target="../media/image80.png"/><Relationship Id="rId7" Type="http://schemas.openxmlformats.org/officeDocument/2006/relationships/image" Target="../media/image81.png"/><Relationship Id="rId8" Type="http://schemas.openxmlformats.org/officeDocument/2006/relationships/image" Target="../media/image82.png"/><Relationship Id="rId9" Type="http://schemas.openxmlformats.org/officeDocument/2006/relationships/image" Target="../media/image83.png"/>
</Relationships>
</file>

<file path=xl/drawings/_rels/drawing2.xml.rels><?xml version="1.0" encoding="UTF-8"?>
<Relationships xmlns="http://schemas.openxmlformats.org/package/2006/relationships"><Relationship Id="rId1" Type="http://schemas.openxmlformats.org/officeDocument/2006/relationships/image" Target="../media/image1.png"/>
</Relationships>
</file>

<file path=xl/drawings/_rels/drawing20.xml.rels><?xml version="1.0" encoding="UTF-8"?>
<Relationships xmlns="http://schemas.openxmlformats.org/package/2006/relationships"><Relationship Id="rId1" Type="http://schemas.openxmlformats.org/officeDocument/2006/relationships/image" Target="../media/image84.png"/><Relationship Id="rId2" Type="http://schemas.openxmlformats.org/officeDocument/2006/relationships/image" Target="../media/image85.png"/><Relationship Id="rId3" Type="http://schemas.openxmlformats.org/officeDocument/2006/relationships/image" Target="../media/image86.png"/><Relationship Id="rId4" Type="http://schemas.openxmlformats.org/officeDocument/2006/relationships/image" Target="../media/image87.png"/><Relationship Id="rId5" Type="http://schemas.openxmlformats.org/officeDocument/2006/relationships/image" Target="../media/image88.png"/>
</Relationships>
</file>

<file path=xl/drawings/_rels/drawing21.xml.rels><?xml version="1.0" encoding="UTF-8"?>
<Relationships xmlns="http://schemas.openxmlformats.org/package/2006/relationships"><Relationship Id="rId1" Type="http://schemas.openxmlformats.org/officeDocument/2006/relationships/image" Target="../media/image89.png"/><Relationship Id="rId2" Type="http://schemas.openxmlformats.org/officeDocument/2006/relationships/image" Target="../media/image90.png"/><Relationship Id="rId3" Type="http://schemas.openxmlformats.org/officeDocument/2006/relationships/image" Target="../media/image91.png"/><Relationship Id="rId4" Type="http://schemas.openxmlformats.org/officeDocument/2006/relationships/image" Target="../media/image92.png"/><Relationship Id="rId5" Type="http://schemas.openxmlformats.org/officeDocument/2006/relationships/image" Target="../media/image93.png"/><Relationship Id="rId6" Type="http://schemas.openxmlformats.org/officeDocument/2006/relationships/image" Target="../media/image94.png"/>
</Relationships>
</file>

<file path=xl/drawings/_rels/drawing22.xml.rels><?xml version="1.0" encoding="UTF-8"?>
<Relationships xmlns="http://schemas.openxmlformats.org/package/2006/relationships"><Relationship Id="rId1" Type="http://schemas.openxmlformats.org/officeDocument/2006/relationships/image" Target="../media/image95.png"/><Relationship Id="rId2" Type="http://schemas.openxmlformats.org/officeDocument/2006/relationships/image" Target="../media/image96.png"/><Relationship Id="rId3" Type="http://schemas.openxmlformats.org/officeDocument/2006/relationships/image" Target="../media/image97.png"/><Relationship Id="rId4" Type="http://schemas.openxmlformats.org/officeDocument/2006/relationships/image" Target="../media/image98.png"/>
</Relationships>
</file>

<file path=xl/drawings/_rels/drawing23.xml.rels><?xml version="1.0" encoding="UTF-8"?>
<Relationships xmlns="http://schemas.openxmlformats.org/package/2006/relationships"><Relationship Id="rId1" Type="http://schemas.openxmlformats.org/officeDocument/2006/relationships/image" Target="../media/image99.png"/><Relationship Id="rId2" Type="http://schemas.openxmlformats.org/officeDocument/2006/relationships/image" Target="../media/image100.png"/><Relationship Id="rId3" Type="http://schemas.openxmlformats.org/officeDocument/2006/relationships/image" Target="../media/image101.png"/><Relationship Id="rId4" Type="http://schemas.openxmlformats.org/officeDocument/2006/relationships/image" Target="../media/image102.png"/><Relationship Id="rId5" Type="http://schemas.openxmlformats.org/officeDocument/2006/relationships/image" Target="../media/image103.png"/><Relationship Id="rId6" Type="http://schemas.openxmlformats.org/officeDocument/2006/relationships/image" Target="../media/image104.png"/><Relationship Id="rId7" Type="http://schemas.openxmlformats.org/officeDocument/2006/relationships/image" Target="../media/image105.png"/>
</Relationships>
</file>

<file path=xl/drawings/_rels/drawing24.xml.rels><?xml version="1.0" encoding="UTF-8"?>
<Relationships xmlns="http://schemas.openxmlformats.org/package/2006/relationships"><Relationship Id="rId1" Type="http://schemas.openxmlformats.org/officeDocument/2006/relationships/image" Target="../media/image106.png"/><Relationship Id="rId2" Type="http://schemas.openxmlformats.org/officeDocument/2006/relationships/image" Target="../media/image107.png"/><Relationship Id="rId3" Type="http://schemas.openxmlformats.org/officeDocument/2006/relationships/image" Target="../media/image108.png"/><Relationship Id="rId4" Type="http://schemas.openxmlformats.org/officeDocument/2006/relationships/image" Target="../media/image109.png"/><Relationship Id="rId5" Type="http://schemas.openxmlformats.org/officeDocument/2006/relationships/image" Target="../media/image110.png"/><Relationship Id="rId6" Type="http://schemas.openxmlformats.org/officeDocument/2006/relationships/image" Target="../media/image111.png"/><Relationship Id="rId7" Type="http://schemas.openxmlformats.org/officeDocument/2006/relationships/image" Target="../media/image112.png"/><Relationship Id="rId8" Type="http://schemas.openxmlformats.org/officeDocument/2006/relationships/image" Target="../media/image113.png"/><Relationship Id="rId9" Type="http://schemas.openxmlformats.org/officeDocument/2006/relationships/image" Target="../media/image114.png"/>
</Relationships>
</file>

<file path=xl/drawings/_rels/drawing25.xml.rels><?xml version="1.0" encoding="UTF-8"?>
<Relationships xmlns="http://schemas.openxmlformats.org/package/2006/relationships"><Relationship Id="rId1" Type="http://schemas.openxmlformats.org/officeDocument/2006/relationships/image" Target="../media/image115.png"/>
</Relationships>
</file>

<file path=xl/drawings/_rels/drawing3.xml.rels><?xml version="1.0" encoding="UTF-8"?>
<Relationships xmlns="http://schemas.openxmlformats.org/package/2006/relationships"><Relationship Id="rId1" Type="http://schemas.openxmlformats.org/officeDocument/2006/relationships/image" Target="../media/image2.png"/>
</Relationships>
</file>

<file path=xl/drawings/_rels/drawing4.xml.rels><?xml version="1.0" encoding="UTF-8"?>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5.png"/><Relationship Id="rId4" Type="http://schemas.openxmlformats.org/officeDocument/2006/relationships/image" Target="../media/image6.png"/><Relationship Id="rId5" Type="http://schemas.openxmlformats.org/officeDocument/2006/relationships/image" Target="../media/image7.png"/>
</Relationships>
</file>

<file path=xl/drawings/_rels/drawing5.xml.rels><?xml version="1.0" encoding="UTF-8"?>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9.png"/><Relationship Id="rId3" Type="http://schemas.openxmlformats.org/officeDocument/2006/relationships/image" Target="../media/image10.png"/><Relationship Id="rId4" Type="http://schemas.openxmlformats.org/officeDocument/2006/relationships/image" Target="../media/image11.png"/>
</Relationships>
</file>

<file path=xl/drawings/_rels/drawing6.xml.rels><?xml version="1.0" encoding="UTF-8"?>
<Relationships xmlns="http://schemas.openxmlformats.org/package/2006/relationships"><Relationship Id="rId1" Type="http://schemas.openxmlformats.org/officeDocument/2006/relationships/image" Target="../media/image12.png"/><Relationship Id="rId2" Type="http://schemas.openxmlformats.org/officeDocument/2006/relationships/image" Target="../media/image13.png"/><Relationship Id="rId3" Type="http://schemas.openxmlformats.org/officeDocument/2006/relationships/image" Target="../media/image14.png"/><Relationship Id="rId4" Type="http://schemas.openxmlformats.org/officeDocument/2006/relationships/image" Target="../media/image15.png"/><Relationship Id="rId5" Type="http://schemas.openxmlformats.org/officeDocument/2006/relationships/image" Target="../media/image16.png"/><Relationship Id="rId6" Type="http://schemas.openxmlformats.org/officeDocument/2006/relationships/image" Target="../media/image17.png"/><Relationship Id="rId7" Type="http://schemas.openxmlformats.org/officeDocument/2006/relationships/image" Target="../media/image18.png"/><Relationship Id="rId8" Type="http://schemas.openxmlformats.org/officeDocument/2006/relationships/image" Target="../media/image19.png"/><Relationship Id="rId9" Type="http://schemas.openxmlformats.org/officeDocument/2006/relationships/image" Target="../media/image20.png"/><Relationship Id="rId10" Type="http://schemas.openxmlformats.org/officeDocument/2006/relationships/image" Target="../media/image21.png"/><Relationship Id="rId11" Type="http://schemas.openxmlformats.org/officeDocument/2006/relationships/image" Target="../media/image22.png"/><Relationship Id="rId12" Type="http://schemas.openxmlformats.org/officeDocument/2006/relationships/image" Target="../media/image23.png"/>
</Relationships>
</file>

<file path=xl/drawings/_rels/drawing7.xml.rels><?xml version="1.0" encoding="UTF-8"?>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25.png"/><Relationship Id="rId3" Type="http://schemas.openxmlformats.org/officeDocument/2006/relationships/image" Target="../media/image26.png"/><Relationship Id="rId4" Type="http://schemas.openxmlformats.org/officeDocument/2006/relationships/image" Target="../media/image27.png"/><Relationship Id="rId5" Type="http://schemas.openxmlformats.org/officeDocument/2006/relationships/image" Target="../media/image28.png"/><Relationship Id="rId6" Type="http://schemas.openxmlformats.org/officeDocument/2006/relationships/image" Target="../media/image29.png"/><Relationship Id="rId7" Type="http://schemas.openxmlformats.org/officeDocument/2006/relationships/image" Target="../media/image30.png"/>
</Relationships>
</file>

<file path=xl/drawings/_rels/drawing8.xml.rels><?xml version="1.0" encoding="UTF-8"?>
<Relationships xmlns="http://schemas.openxmlformats.org/package/2006/relationships"><Relationship Id="rId1" Type="http://schemas.openxmlformats.org/officeDocument/2006/relationships/image" Target="../media/image31.png"/><Relationship Id="rId2" Type="http://schemas.openxmlformats.org/officeDocument/2006/relationships/image" Target="../media/image32.png"/>
</Relationships>
</file>

<file path=xl/drawings/_rels/drawing9.xml.rels><?xml version="1.0" encoding="UTF-8"?>
<Relationships xmlns="http://schemas.openxmlformats.org/package/2006/relationships"><Relationship Id="rId1" Type="http://schemas.openxmlformats.org/officeDocument/2006/relationships/image" Target="../media/image33.png"/><Relationship Id="rId2" Type="http://schemas.openxmlformats.org/officeDocument/2006/relationships/image" Target="../media/image34.png"/>
</Relationships>
</file>

<file path=xl/drawings/drawing1.xml><?xml version="1.0" encoding="utf-8"?>
<xdr:wsDr xmlns:xdr="http://schemas.openxmlformats.org/drawingml/2006/spreadsheetDrawing" xmlns:a="http://schemas.openxmlformats.org/drawingml/2006/main" xmlns:r="http://schemas.openxmlformats.org/officeDocument/2006/relationships"/>
</file>

<file path=xl/drawings/drawing1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504720</xdr:colOff>
      <xdr:row>31</xdr:row>
      <xdr:rowOff>162000</xdr:rowOff>
    </xdr:from>
    <xdr:to>
      <xdr:col>4</xdr:col>
      <xdr:colOff>1913760</xdr:colOff>
      <xdr:row>36</xdr:row>
      <xdr:rowOff>56520</xdr:rowOff>
    </xdr:to>
    <xdr:pic>
      <xdr:nvPicPr>
        <xdr:cNvPr id="34" name="Image 1" descr=""/>
        <xdr:cNvPicPr/>
      </xdr:nvPicPr>
      <xdr:blipFill>
        <a:blip r:embed="rId1"/>
        <a:stretch/>
      </xdr:blipFill>
      <xdr:spPr>
        <a:xfrm>
          <a:off x="627120" y="6429600"/>
          <a:ext cx="5393880" cy="894600"/>
        </a:xfrm>
        <a:prstGeom prst="rect">
          <a:avLst/>
        </a:prstGeom>
        <a:ln w="0">
          <a:noFill/>
        </a:ln>
      </xdr:spPr>
    </xdr:pic>
    <xdr:clientData/>
  </xdr:twoCellAnchor>
  <xdr:twoCellAnchor editAs="oneCell">
    <xdr:from>
      <xdr:col>1</xdr:col>
      <xdr:colOff>495360</xdr:colOff>
      <xdr:row>21</xdr:row>
      <xdr:rowOff>47520</xdr:rowOff>
    </xdr:from>
    <xdr:to>
      <xdr:col>4</xdr:col>
      <xdr:colOff>1904400</xdr:colOff>
      <xdr:row>31</xdr:row>
      <xdr:rowOff>37440</xdr:rowOff>
    </xdr:to>
    <xdr:pic>
      <xdr:nvPicPr>
        <xdr:cNvPr id="35" name="Image 2" descr=""/>
        <xdr:cNvPicPr/>
      </xdr:nvPicPr>
      <xdr:blipFill>
        <a:blip r:embed="rId2"/>
        <a:stretch/>
      </xdr:blipFill>
      <xdr:spPr>
        <a:xfrm>
          <a:off x="617760" y="4314600"/>
          <a:ext cx="5393880" cy="1990440"/>
        </a:xfrm>
        <a:prstGeom prst="rect">
          <a:avLst/>
        </a:prstGeom>
        <a:ln w="0">
          <a:noFill/>
        </a:ln>
      </xdr:spPr>
    </xdr:pic>
    <xdr:clientData/>
  </xdr:twoCellAnchor>
  <xdr:twoCellAnchor editAs="oneCell">
    <xdr:from>
      <xdr:col>1</xdr:col>
      <xdr:colOff>523800</xdr:colOff>
      <xdr:row>37</xdr:row>
      <xdr:rowOff>123840</xdr:rowOff>
    </xdr:from>
    <xdr:to>
      <xdr:col>4</xdr:col>
      <xdr:colOff>1932840</xdr:colOff>
      <xdr:row>47</xdr:row>
      <xdr:rowOff>199080</xdr:rowOff>
    </xdr:to>
    <xdr:pic>
      <xdr:nvPicPr>
        <xdr:cNvPr id="36" name="Image 3" descr=""/>
        <xdr:cNvPicPr/>
      </xdr:nvPicPr>
      <xdr:blipFill>
        <a:blip r:embed="rId3"/>
        <a:stretch/>
      </xdr:blipFill>
      <xdr:spPr>
        <a:xfrm>
          <a:off x="646200" y="7591320"/>
          <a:ext cx="5393880" cy="2075760"/>
        </a:xfrm>
        <a:prstGeom prst="rect">
          <a:avLst/>
        </a:prstGeom>
        <a:ln w="0">
          <a:noFill/>
        </a:ln>
      </xdr:spPr>
    </xdr:pic>
    <xdr:clientData/>
  </xdr:twoCellAnchor>
  <xdr:twoCellAnchor editAs="oneCell">
    <xdr:from>
      <xdr:col>1</xdr:col>
      <xdr:colOff>552600</xdr:colOff>
      <xdr:row>48</xdr:row>
      <xdr:rowOff>123840</xdr:rowOff>
    </xdr:from>
    <xdr:to>
      <xdr:col>4</xdr:col>
      <xdr:colOff>1961640</xdr:colOff>
      <xdr:row>55</xdr:row>
      <xdr:rowOff>199080</xdr:rowOff>
    </xdr:to>
    <xdr:pic>
      <xdr:nvPicPr>
        <xdr:cNvPr id="37" name="Image 4" descr=""/>
        <xdr:cNvPicPr/>
      </xdr:nvPicPr>
      <xdr:blipFill>
        <a:blip r:embed="rId4"/>
        <a:stretch/>
      </xdr:blipFill>
      <xdr:spPr>
        <a:xfrm>
          <a:off x="675000" y="9791640"/>
          <a:ext cx="5393880" cy="1475640"/>
        </a:xfrm>
        <a:prstGeom prst="rect">
          <a:avLst/>
        </a:prstGeom>
        <a:ln w="0">
          <a:noFill/>
        </a:ln>
      </xdr:spPr>
    </xdr:pic>
    <xdr:clientData/>
  </xdr:twoCellAnchor>
</xdr:wsDr>
</file>

<file path=xl/drawings/drawing11.xml><?xml version="1.0" encoding="utf-8"?>
<xdr:wsDr xmlns:xdr="http://schemas.openxmlformats.org/drawingml/2006/spreadsheetDrawing" xmlns:a="http://schemas.openxmlformats.org/drawingml/2006/main" xmlns:r="http://schemas.openxmlformats.org/officeDocument/2006/relationships">
  <xdr:twoCellAnchor editAs="oneCell">
    <xdr:from>
      <xdr:col>10</xdr:col>
      <xdr:colOff>85680</xdr:colOff>
      <xdr:row>18</xdr:row>
      <xdr:rowOff>181080</xdr:rowOff>
    </xdr:from>
    <xdr:to>
      <xdr:col>13</xdr:col>
      <xdr:colOff>37440</xdr:colOff>
      <xdr:row>25</xdr:row>
      <xdr:rowOff>189720</xdr:rowOff>
    </xdr:to>
    <xdr:pic>
      <xdr:nvPicPr>
        <xdr:cNvPr id="38" name="Image 1" descr=""/>
        <xdr:cNvPicPr/>
      </xdr:nvPicPr>
      <xdr:blipFill>
        <a:blip r:embed="rId1"/>
        <a:stretch/>
      </xdr:blipFill>
      <xdr:spPr>
        <a:xfrm>
          <a:off x="8626320" y="4848480"/>
          <a:ext cx="4545360" cy="1408680"/>
        </a:xfrm>
        <a:prstGeom prst="rect">
          <a:avLst/>
        </a:prstGeom>
        <a:ln w="0">
          <a:noFill/>
        </a:ln>
      </xdr:spPr>
    </xdr:pic>
    <xdr:clientData/>
  </xdr:twoCellAnchor>
  <xdr:twoCellAnchor editAs="oneCell">
    <xdr:from>
      <xdr:col>15</xdr:col>
      <xdr:colOff>523800</xdr:colOff>
      <xdr:row>25</xdr:row>
      <xdr:rowOff>152280</xdr:rowOff>
    </xdr:from>
    <xdr:to>
      <xdr:col>19</xdr:col>
      <xdr:colOff>504000</xdr:colOff>
      <xdr:row>30</xdr:row>
      <xdr:rowOff>189720</xdr:rowOff>
    </xdr:to>
    <xdr:pic>
      <xdr:nvPicPr>
        <xdr:cNvPr id="39" name="Image 2" descr=""/>
        <xdr:cNvPicPr/>
      </xdr:nvPicPr>
      <xdr:blipFill>
        <a:blip r:embed="rId2"/>
        <a:stretch/>
      </xdr:blipFill>
      <xdr:spPr>
        <a:xfrm>
          <a:off x="17426160" y="6219720"/>
          <a:ext cx="3999240" cy="1037520"/>
        </a:xfrm>
        <a:prstGeom prst="rect">
          <a:avLst/>
        </a:prstGeom>
        <a:ln w="0">
          <a:noFill/>
        </a:ln>
      </xdr:spPr>
    </xdr:pic>
    <xdr:clientData/>
  </xdr:twoCellAnchor>
  <xdr:twoCellAnchor editAs="oneCell">
    <xdr:from>
      <xdr:col>10</xdr:col>
      <xdr:colOff>361800</xdr:colOff>
      <xdr:row>37</xdr:row>
      <xdr:rowOff>57240</xdr:rowOff>
    </xdr:from>
    <xdr:to>
      <xdr:col>13</xdr:col>
      <xdr:colOff>1294560</xdr:colOff>
      <xdr:row>60</xdr:row>
      <xdr:rowOff>18360</xdr:rowOff>
    </xdr:to>
    <xdr:pic>
      <xdr:nvPicPr>
        <xdr:cNvPr id="40" name="Image 3" descr=""/>
        <xdr:cNvPicPr/>
      </xdr:nvPicPr>
      <xdr:blipFill>
        <a:blip r:embed="rId3"/>
        <a:stretch/>
      </xdr:blipFill>
      <xdr:spPr>
        <a:xfrm>
          <a:off x="8902440" y="10639440"/>
          <a:ext cx="5526360" cy="4561920"/>
        </a:xfrm>
        <a:prstGeom prst="rect">
          <a:avLst/>
        </a:prstGeom>
        <a:ln w="0">
          <a:noFill/>
        </a:ln>
      </xdr:spPr>
    </xdr:pic>
    <xdr:clientData/>
  </xdr:twoCellAnchor>
</xdr:wsDr>
</file>

<file path=xl/drawings/drawing1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333360</xdr:colOff>
      <xdr:row>14</xdr:row>
      <xdr:rowOff>142920</xdr:rowOff>
    </xdr:from>
    <xdr:to>
      <xdr:col>4</xdr:col>
      <xdr:colOff>351720</xdr:colOff>
      <xdr:row>37</xdr:row>
      <xdr:rowOff>113760</xdr:rowOff>
    </xdr:to>
    <xdr:pic>
      <xdr:nvPicPr>
        <xdr:cNvPr id="41" name="Image 1" descr=""/>
        <xdr:cNvPicPr/>
      </xdr:nvPicPr>
      <xdr:blipFill>
        <a:blip r:embed="rId1"/>
        <a:stretch/>
      </xdr:blipFill>
      <xdr:spPr>
        <a:xfrm>
          <a:off x="455760" y="3009960"/>
          <a:ext cx="4063320" cy="4571280"/>
        </a:xfrm>
        <a:prstGeom prst="rect">
          <a:avLst/>
        </a:prstGeom>
        <a:ln w="0">
          <a:noFill/>
        </a:ln>
      </xdr:spPr>
    </xdr:pic>
    <xdr:clientData/>
  </xdr:twoCellAnchor>
</xdr:wsDr>
</file>

<file path=xl/drawings/drawing13.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0</xdr:colOff>
      <xdr:row>16</xdr:row>
      <xdr:rowOff>0</xdr:rowOff>
    </xdr:from>
    <xdr:to>
      <xdr:col>5</xdr:col>
      <xdr:colOff>75600</xdr:colOff>
      <xdr:row>26</xdr:row>
      <xdr:rowOff>37440</xdr:rowOff>
    </xdr:to>
    <xdr:pic>
      <xdr:nvPicPr>
        <xdr:cNvPr id="42" name="Image 1" descr=""/>
        <xdr:cNvPicPr/>
      </xdr:nvPicPr>
      <xdr:blipFill>
        <a:blip r:embed="rId1"/>
        <a:stretch/>
      </xdr:blipFill>
      <xdr:spPr>
        <a:xfrm>
          <a:off x="947880" y="3267000"/>
          <a:ext cx="5810400" cy="2037600"/>
        </a:xfrm>
        <a:prstGeom prst="rect">
          <a:avLst/>
        </a:prstGeom>
        <a:ln w="0">
          <a:noFill/>
        </a:ln>
      </xdr:spPr>
    </xdr:pic>
    <xdr:clientData/>
  </xdr:twoCellAnchor>
  <xdr:twoCellAnchor editAs="oneCell">
    <xdr:from>
      <xdr:col>2</xdr:col>
      <xdr:colOff>28440</xdr:colOff>
      <xdr:row>26</xdr:row>
      <xdr:rowOff>104760</xdr:rowOff>
    </xdr:from>
    <xdr:to>
      <xdr:col>5</xdr:col>
      <xdr:colOff>104040</xdr:colOff>
      <xdr:row>35</xdr:row>
      <xdr:rowOff>37440</xdr:rowOff>
    </xdr:to>
    <xdr:pic>
      <xdr:nvPicPr>
        <xdr:cNvPr id="43" name="Image 2" descr=""/>
        <xdr:cNvPicPr/>
      </xdr:nvPicPr>
      <xdr:blipFill>
        <a:blip r:embed="rId2"/>
        <a:stretch/>
      </xdr:blipFill>
      <xdr:spPr>
        <a:xfrm>
          <a:off x="976320" y="5371920"/>
          <a:ext cx="5810400" cy="1733040"/>
        </a:xfrm>
        <a:prstGeom prst="rect">
          <a:avLst/>
        </a:prstGeom>
        <a:ln w="0">
          <a:noFill/>
        </a:ln>
      </xdr:spPr>
    </xdr:pic>
    <xdr:clientData/>
  </xdr:twoCellAnchor>
</xdr:wsDr>
</file>

<file path=xl/drawings/drawing14.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123840</xdr:colOff>
      <xdr:row>37</xdr:row>
      <xdr:rowOff>66600</xdr:rowOff>
    </xdr:from>
    <xdr:to>
      <xdr:col>6</xdr:col>
      <xdr:colOff>370800</xdr:colOff>
      <xdr:row>43</xdr:row>
      <xdr:rowOff>199440</xdr:rowOff>
    </xdr:to>
    <xdr:pic>
      <xdr:nvPicPr>
        <xdr:cNvPr id="44" name="Image 2" descr=""/>
        <xdr:cNvPicPr/>
      </xdr:nvPicPr>
      <xdr:blipFill>
        <a:blip r:embed="rId1"/>
        <a:stretch/>
      </xdr:blipFill>
      <xdr:spPr>
        <a:xfrm>
          <a:off x="1071720" y="9096480"/>
          <a:ext cx="4208400" cy="1332720"/>
        </a:xfrm>
        <a:prstGeom prst="rect">
          <a:avLst/>
        </a:prstGeom>
        <a:ln w="0">
          <a:noFill/>
        </a:ln>
      </xdr:spPr>
    </xdr:pic>
    <xdr:clientData/>
  </xdr:twoCellAnchor>
  <xdr:twoCellAnchor editAs="oneCell">
    <xdr:from>
      <xdr:col>2</xdr:col>
      <xdr:colOff>19080</xdr:colOff>
      <xdr:row>45</xdr:row>
      <xdr:rowOff>66600</xdr:rowOff>
    </xdr:from>
    <xdr:to>
      <xdr:col>6</xdr:col>
      <xdr:colOff>447120</xdr:colOff>
      <xdr:row>54</xdr:row>
      <xdr:rowOff>94320</xdr:rowOff>
    </xdr:to>
    <xdr:pic>
      <xdr:nvPicPr>
        <xdr:cNvPr id="45" name="Image 3" descr=""/>
        <xdr:cNvPicPr/>
      </xdr:nvPicPr>
      <xdr:blipFill>
        <a:blip r:embed="rId2"/>
        <a:stretch/>
      </xdr:blipFill>
      <xdr:spPr>
        <a:xfrm>
          <a:off x="966960" y="10696680"/>
          <a:ext cx="4389480" cy="1827720"/>
        </a:xfrm>
        <a:prstGeom prst="rect">
          <a:avLst/>
        </a:prstGeom>
        <a:ln w="0">
          <a:noFill/>
        </a:ln>
      </xdr:spPr>
    </xdr:pic>
    <xdr:clientData/>
  </xdr:twoCellAnchor>
  <xdr:twoCellAnchor editAs="oneCell">
    <xdr:from>
      <xdr:col>1</xdr:col>
      <xdr:colOff>333360</xdr:colOff>
      <xdr:row>23</xdr:row>
      <xdr:rowOff>171360</xdr:rowOff>
    </xdr:from>
    <xdr:to>
      <xdr:col>7</xdr:col>
      <xdr:colOff>132480</xdr:colOff>
      <xdr:row>35</xdr:row>
      <xdr:rowOff>142200</xdr:rowOff>
    </xdr:to>
    <xdr:pic>
      <xdr:nvPicPr>
        <xdr:cNvPr id="46" name="Image 4" descr=""/>
        <xdr:cNvPicPr/>
      </xdr:nvPicPr>
      <xdr:blipFill>
        <a:blip r:embed="rId3"/>
        <a:stretch/>
      </xdr:blipFill>
      <xdr:spPr>
        <a:xfrm>
          <a:off x="455760" y="6400800"/>
          <a:ext cx="5740920" cy="2370960"/>
        </a:xfrm>
        <a:prstGeom prst="rect">
          <a:avLst/>
        </a:prstGeom>
        <a:ln w="0">
          <a:noFill/>
        </a:ln>
      </xdr:spPr>
    </xdr:pic>
    <xdr:clientData/>
  </xdr:twoCellAnchor>
  <xdr:twoCellAnchor editAs="oneCell">
    <xdr:from>
      <xdr:col>6</xdr:col>
      <xdr:colOff>266760</xdr:colOff>
      <xdr:row>15</xdr:row>
      <xdr:rowOff>523800</xdr:rowOff>
    </xdr:from>
    <xdr:to>
      <xdr:col>11</xdr:col>
      <xdr:colOff>532800</xdr:colOff>
      <xdr:row>15</xdr:row>
      <xdr:rowOff>1180440</xdr:rowOff>
    </xdr:to>
    <xdr:pic>
      <xdr:nvPicPr>
        <xdr:cNvPr id="47" name="Image 8" descr=""/>
        <xdr:cNvPicPr/>
      </xdr:nvPicPr>
      <xdr:blipFill>
        <a:blip r:embed="rId4"/>
        <a:stretch/>
      </xdr:blipFill>
      <xdr:spPr>
        <a:xfrm>
          <a:off x="5176080" y="3591000"/>
          <a:ext cx="5052600" cy="656640"/>
        </a:xfrm>
        <a:prstGeom prst="rect">
          <a:avLst/>
        </a:prstGeom>
        <a:ln w="0">
          <a:noFill/>
        </a:ln>
      </xdr:spPr>
    </xdr:pic>
    <xdr:clientData/>
  </xdr:twoCellAnchor>
  <xdr:twoCellAnchor editAs="oneCell">
    <xdr:from>
      <xdr:col>13</xdr:col>
      <xdr:colOff>295200</xdr:colOff>
      <xdr:row>35</xdr:row>
      <xdr:rowOff>152280</xdr:rowOff>
    </xdr:from>
    <xdr:to>
      <xdr:col>22</xdr:col>
      <xdr:colOff>104040</xdr:colOff>
      <xdr:row>47</xdr:row>
      <xdr:rowOff>56160</xdr:rowOff>
    </xdr:to>
    <xdr:pic>
      <xdr:nvPicPr>
        <xdr:cNvPr id="48" name="Image 10" descr=""/>
        <xdr:cNvPicPr/>
      </xdr:nvPicPr>
      <xdr:blipFill>
        <a:blip r:embed="rId5"/>
        <a:stretch/>
      </xdr:blipFill>
      <xdr:spPr>
        <a:xfrm>
          <a:off x="10938960" y="8781840"/>
          <a:ext cx="8069040" cy="2304360"/>
        </a:xfrm>
        <a:prstGeom prst="rect">
          <a:avLst/>
        </a:prstGeom>
        <a:ln w="0">
          <a:noFill/>
        </a:ln>
      </xdr:spPr>
    </xdr:pic>
    <xdr:clientData/>
  </xdr:twoCellAnchor>
  <xdr:twoCellAnchor editAs="oneCell">
    <xdr:from>
      <xdr:col>13</xdr:col>
      <xdr:colOff>314280</xdr:colOff>
      <xdr:row>23</xdr:row>
      <xdr:rowOff>85680</xdr:rowOff>
    </xdr:from>
    <xdr:to>
      <xdr:col>18</xdr:col>
      <xdr:colOff>723240</xdr:colOff>
      <xdr:row>34</xdr:row>
      <xdr:rowOff>18360</xdr:rowOff>
    </xdr:to>
    <xdr:pic>
      <xdr:nvPicPr>
        <xdr:cNvPr id="49" name="Image 1" descr=""/>
        <xdr:cNvPicPr/>
      </xdr:nvPicPr>
      <xdr:blipFill>
        <a:blip r:embed="rId6"/>
        <a:stretch/>
      </xdr:blipFill>
      <xdr:spPr>
        <a:xfrm>
          <a:off x="10958040" y="6315120"/>
          <a:ext cx="5558760" cy="2133000"/>
        </a:xfrm>
        <a:prstGeom prst="rect">
          <a:avLst/>
        </a:prstGeom>
        <a:ln w="0">
          <a:noFill/>
        </a:ln>
      </xdr:spPr>
    </xdr:pic>
    <xdr:clientData/>
  </xdr:twoCellAnchor>
</xdr:wsDr>
</file>

<file path=xl/drawings/drawing1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495360</xdr:colOff>
      <xdr:row>15</xdr:row>
      <xdr:rowOff>123840</xdr:rowOff>
    </xdr:from>
    <xdr:to>
      <xdr:col>6</xdr:col>
      <xdr:colOff>189720</xdr:colOff>
      <xdr:row>34</xdr:row>
      <xdr:rowOff>94680</xdr:rowOff>
    </xdr:to>
    <xdr:pic>
      <xdr:nvPicPr>
        <xdr:cNvPr id="50" name="Image 2" descr=""/>
        <xdr:cNvPicPr/>
      </xdr:nvPicPr>
      <xdr:blipFill>
        <a:blip r:embed="rId1"/>
        <a:stretch/>
      </xdr:blipFill>
      <xdr:spPr>
        <a:xfrm>
          <a:off x="617760" y="3390840"/>
          <a:ext cx="7809120" cy="3771360"/>
        </a:xfrm>
        <a:prstGeom prst="rect">
          <a:avLst/>
        </a:prstGeom>
        <a:ln w="0">
          <a:noFill/>
        </a:ln>
      </xdr:spPr>
    </xdr:pic>
    <xdr:clientData/>
  </xdr:twoCellAnchor>
</xdr:wsDr>
</file>

<file path=xl/drawings/drawing1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66600</xdr:colOff>
      <xdr:row>6</xdr:row>
      <xdr:rowOff>0</xdr:rowOff>
    </xdr:from>
    <xdr:to>
      <xdr:col>6</xdr:col>
      <xdr:colOff>361080</xdr:colOff>
      <xdr:row>15</xdr:row>
      <xdr:rowOff>46800</xdr:rowOff>
    </xdr:to>
    <xdr:pic>
      <xdr:nvPicPr>
        <xdr:cNvPr id="51" name="Image 1" descr=""/>
        <xdr:cNvPicPr/>
      </xdr:nvPicPr>
      <xdr:blipFill>
        <a:blip r:embed="rId1"/>
        <a:stretch/>
      </xdr:blipFill>
      <xdr:spPr>
        <a:xfrm>
          <a:off x="189000" y="1200240"/>
          <a:ext cx="4422240" cy="1846800"/>
        </a:xfrm>
        <a:prstGeom prst="rect">
          <a:avLst/>
        </a:prstGeom>
        <a:ln w="0">
          <a:noFill/>
        </a:ln>
      </xdr:spPr>
    </xdr:pic>
    <xdr:clientData/>
  </xdr:twoCellAnchor>
  <xdr:twoCellAnchor editAs="oneCell">
    <xdr:from>
      <xdr:col>1</xdr:col>
      <xdr:colOff>181080</xdr:colOff>
      <xdr:row>16</xdr:row>
      <xdr:rowOff>114480</xdr:rowOff>
    </xdr:from>
    <xdr:to>
      <xdr:col>6</xdr:col>
      <xdr:colOff>237600</xdr:colOff>
      <xdr:row>26</xdr:row>
      <xdr:rowOff>151920</xdr:rowOff>
    </xdr:to>
    <xdr:pic>
      <xdr:nvPicPr>
        <xdr:cNvPr id="52" name="Image 2" descr=""/>
        <xdr:cNvPicPr/>
      </xdr:nvPicPr>
      <xdr:blipFill>
        <a:blip r:embed="rId2"/>
        <a:stretch/>
      </xdr:blipFill>
      <xdr:spPr>
        <a:xfrm>
          <a:off x="303480" y="3314880"/>
          <a:ext cx="4184280" cy="2037600"/>
        </a:xfrm>
        <a:prstGeom prst="rect">
          <a:avLst/>
        </a:prstGeom>
        <a:ln w="0">
          <a:noFill/>
        </a:ln>
      </xdr:spPr>
    </xdr:pic>
    <xdr:clientData/>
  </xdr:twoCellAnchor>
  <xdr:twoCellAnchor editAs="oneCell">
    <xdr:from>
      <xdr:col>1</xdr:col>
      <xdr:colOff>209520</xdr:colOff>
      <xdr:row>28</xdr:row>
      <xdr:rowOff>114480</xdr:rowOff>
    </xdr:from>
    <xdr:to>
      <xdr:col>6</xdr:col>
      <xdr:colOff>484920</xdr:colOff>
      <xdr:row>33</xdr:row>
      <xdr:rowOff>171000</xdr:rowOff>
    </xdr:to>
    <xdr:pic>
      <xdr:nvPicPr>
        <xdr:cNvPr id="53" name="Image 3" descr=""/>
        <xdr:cNvPicPr/>
      </xdr:nvPicPr>
      <xdr:blipFill>
        <a:blip r:embed="rId3"/>
        <a:stretch/>
      </xdr:blipFill>
      <xdr:spPr>
        <a:xfrm>
          <a:off x="331920" y="5715360"/>
          <a:ext cx="4403160" cy="1056600"/>
        </a:xfrm>
        <a:prstGeom prst="rect">
          <a:avLst/>
        </a:prstGeom>
        <a:ln w="0">
          <a:noFill/>
        </a:ln>
      </xdr:spPr>
    </xdr:pic>
    <xdr:clientData/>
  </xdr:twoCellAnchor>
  <xdr:twoCellAnchor editAs="oneCell">
    <xdr:from>
      <xdr:col>1</xdr:col>
      <xdr:colOff>95400</xdr:colOff>
      <xdr:row>34</xdr:row>
      <xdr:rowOff>85680</xdr:rowOff>
    </xdr:from>
    <xdr:to>
      <xdr:col>6</xdr:col>
      <xdr:colOff>504360</xdr:colOff>
      <xdr:row>44</xdr:row>
      <xdr:rowOff>104040</xdr:rowOff>
    </xdr:to>
    <xdr:pic>
      <xdr:nvPicPr>
        <xdr:cNvPr id="54" name="Image 4" descr=""/>
        <xdr:cNvPicPr/>
      </xdr:nvPicPr>
      <xdr:blipFill>
        <a:blip r:embed="rId4"/>
        <a:stretch/>
      </xdr:blipFill>
      <xdr:spPr>
        <a:xfrm>
          <a:off x="217800" y="6886440"/>
          <a:ext cx="4536720" cy="2018880"/>
        </a:xfrm>
        <a:prstGeom prst="rect">
          <a:avLst/>
        </a:prstGeom>
        <a:ln w="0">
          <a:noFill/>
        </a:ln>
      </xdr:spPr>
    </xdr:pic>
    <xdr:clientData/>
  </xdr:twoCellAnchor>
  <xdr:twoCellAnchor editAs="oneCell">
    <xdr:from>
      <xdr:col>1</xdr:col>
      <xdr:colOff>373320</xdr:colOff>
      <xdr:row>46</xdr:row>
      <xdr:rowOff>190440</xdr:rowOff>
    </xdr:from>
    <xdr:to>
      <xdr:col>7</xdr:col>
      <xdr:colOff>456480</xdr:colOff>
      <xdr:row>56</xdr:row>
      <xdr:rowOff>65880</xdr:rowOff>
    </xdr:to>
    <xdr:pic>
      <xdr:nvPicPr>
        <xdr:cNvPr id="55" name="Image 5" descr=""/>
        <xdr:cNvPicPr/>
      </xdr:nvPicPr>
      <xdr:blipFill>
        <a:blip r:embed="rId5"/>
        <a:stretch/>
      </xdr:blipFill>
      <xdr:spPr>
        <a:xfrm>
          <a:off x="495720" y="9391680"/>
          <a:ext cx="5036400" cy="1875600"/>
        </a:xfrm>
        <a:prstGeom prst="rect">
          <a:avLst/>
        </a:prstGeom>
        <a:ln w="0">
          <a:noFill/>
        </a:ln>
      </xdr:spPr>
    </xdr:pic>
    <xdr:clientData/>
  </xdr:twoCellAnchor>
  <xdr:twoCellAnchor editAs="oneCell">
    <xdr:from>
      <xdr:col>1</xdr:col>
      <xdr:colOff>171360</xdr:colOff>
      <xdr:row>57</xdr:row>
      <xdr:rowOff>95400</xdr:rowOff>
    </xdr:from>
    <xdr:to>
      <xdr:col>6</xdr:col>
      <xdr:colOff>418320</xdr:colOff>
      <xdr:row>80</xdr:row>
      <xdr:rowOff>66240</xdr:rowOff>
    </xdr:to>
    <xdr:pic>
      <xdr:nvPicPr>
        <xdr:cNvPr id="56" name="Image 6" descr=""/>
        <xdr:cNvPicPr/>
      </xdr:nvPicPr>
      <xdr:blipFill>
        <a:blip r:embed="rId6"/>
        <a:stretch/>
      </xdr:blipFill>
      <xdr:spPr>
        <a:xfrm>
          <a:off x="293760" y="11496960"/>
          <a:ext cx="4374720" cy="4571280"/>
        </a:xfrm>
        <a:prstGeom prst="rect">
          <a:avLst/>
        </a:prstGeom>
        <a:ln w="0">
          <a:noFill/>
        </a:ln>
      </xdr:spPr>
    </xdr:pic>
    <xdr:clientData/>
  </xdr:twoCellAnchor>
  <xdr:twoCellAnchor editAs="oneCell">
    <xdr:from>
      <xdr:col>1</xdr:col>
      <xdr:colOff>228600</xdr:colOff>
      <xdr:row>81</xdr:row>
      <xdr:rowOff>142920</xdr:rowOff>
    </xdr:from>
    <xdr:to>
      <xdr:col>6</xdr:col>
      <xdr:colOff>428040</xdr:colOff>
      <xdr:row>87</xdr:row>
      <xdr:rowOff>180360</xdr:rowOff>
    </xdr:to>
    <xdr:pic>
      <xdr:nvPicPr>
        <xdr:cNvPr id="57" name="Image 7" descr=""/>
        <xdr:cNvPicPr/>
      </xdr:nvPicPr>
      <xdr:blipFill>
        <a:blip r:embed="rId7"/>
        <a:stretch/>
      </xdr:blipFill>
      <xdr:spPr>
        <a:xfrm>
          <a:off x="351000" y="16345080"/>
          <a:ext cx="4327200" cy="1237320"/>
        </a:xfrm>
        <a:prstGeom prst="rect">
          <a:avLst/>
        </a:prstGeom>
        <a:ln w="0">
          <a:noFill/>
        </a:ln>
      </xdr:spPr>
    </xdr:pic>
    <xdr:clientData/>
  </xdr:twoCellAnchor>
  <xdr:twoCellAnchor editAs="oneCell">
    <xdr:from>
      <xdr:col>1</xdr:col>
      <xdr:colOff>76320</xdr:colOff>
      <xdr:row>89</xdr:row>
      <xdr:rowOff>9360</xdr:rowOff>
    </xdr:from>
    <xdr:to>
      <xdr:col>6</xdr:col>
      <xdr:colOff>437400</xdr:colOff>
      <xdr:row>91</xdr:row>
      <xdr:rowOff>75240</xdr:rowOff>
    </xdr:to>
    <xdr:pic>
      <xdr:nvPicPr>
        <xdr:cNvPr id="58" name="Image 8" descr=""/>
        <xdr:cNvPicPr/>
      </xdr:nvPicPr>
      <xdr:blipFill>
        <a:blip r:embed="rId8"/>
        <a:stretch/>
      </xdr:blipFill>
      <xdr:spPr>
        <a:xfrm>
          <a:off x="198720" y="17811720"/>
          <a:ext cx="4488840" cy="465840"/>
        </a:xfrm>
        <a:prstGeom prst="rect">
          <a:avLst/>
        </a:prstGeom>
        <a:ln w="0">
          <a:noFill/>
        </a:ln>
      </xdr:spPr>
    </xdr:pic>
    <xdr:clientData/>
  </xdr:twoCellAnchor>
  <xdr:twoCellAnchor editAs="oneCell">
    <xdr:from>
      <xdr:col>1</xdr:col>
      <xdr:colOff>285840</xdr:colOff>
      <xdr:row>92</xdr:row>
      <xdr:rowOff>85680</xdr:rowOff>
    </xdr:from>
    <xdr:to>
      <xdr:col>6</xdr:col>
      <xdr:colOff>361440</xdr:colOff>
      <xdr:row>105</xdr:row>
      <xdr:rowOff>27720</xdr:rowOff>
    </xdr:to>
    <xdr:pic>
      <xdr:nvPicPr>
        <xdr:cNvPr id="59" name="Image 9" descr=""/>
        <xdr:cNvPicPr/>
      </xdr:nvPicPr>
      <xdr:blipFill>
        <a:blip r:embed="rId9"/>
        <a:stretch/>
      </xdr:blipFill>
      <xdr:spPr>
        <a:xfrm>
          <a:off x="408240" y="18488160"/>
          <a:ext cx="4203360" cy="2542320"/>
        </a:xfrm>
        <a:prstGeom prst="rect">
          <a:avLst/>
        </a:prstGeom>
        <a:ln w="0">
          <a:noFill/>
        </a:ln>
      </xdr:spPr>
    </xdr:pic>
    <xdr:clientData/>
  </xdr:twoCellAnchor>
  <xdr:twoCellAnchor editAs="oneCell">
    <xdr:from>
      <xdr:col>1</xdr:col>
      <xdr:colOff>373320</xdr:colOff>
      <xdr:row>106</xdr:row>
      <xdr:rowOff>123840</xdr:rowOff>
    </xdr:from>
    <xdr:to>
      <xdr:col>7</xdr:col>
      <xdr:colOff>456480</xdr:colOff>
      <xdr:row>116</xdr:row>
      <xdr:rowOff>56520</xdr:rowOff>
    </xdr:to>
    <xdr:pic>
      <xdr:nvPicPr>
        <xdr:cNvPr id="60" name="Image 10" descr=""/>
        <xdr:cNvPicPr/>
      </xdr:nvPicPr>
      <xdr:blipFill>
        <a:blip r:embed="rId10"/>
        <a:stretch/>
      </xdr:blipFill>
      <xdr:spPr>
        <a:xfrm>
          <a:off x="495720" y="21326400"/>
          <a:ext cx="5036400" cy="1933200"/>
        </a:xfrm>
        <a:prstGeom prst="rect">
          <a:avLst/>
        </a:prstGeom>
        <a:ln w="0">
          <a:noFill/>
        </a:ln>
      </xdr:spPr>
    </xdr:pic>
    <xdr:clientData/>
  </xdr:twoCellAnchor>
  <xdr:twoCellAnchor editAs="oneCell">
    <xdr:from>
      <xdr:col>10</xdr:col>
      <xdr:colOff>104760</xdr:colOff>
      <xdr:row>4</xdr:row>
      <xdr:rowOff>181080</xdr:rowOff>
    </xdr:from>
    <xdr:to>
      <xdr:col>14</xdr:col>
      <xdr:colOff>599400</xdr:colOff>
      <xdr:row>15</xdr:row>
      <xdr:rowOff>132840</xdr:rowOff>
    </xdr:to>
    <xdr:pic>
      <xdr:nvPicPr>
        <xdr:cNvPr id="61" name="Image 11" descr=""/>
        <xdr:cNvPicPr/>
      </xdr:nvPicPr>
      <xdr:blipFill>
        <a:blip r:embed="rId11"/>
        <a:stretch/>
      </xdr:blipFill>
      <xdr:spPr>
        <a:xfrm>
          <a:off x="7656840" y="981360"/>
          <a:ext cx="3796560" cy="2151720"/>
        </a:xfrm>
        <a:prstGeom prst="rect">
          <a:avLst/>
        </a:prstGeom>
        <a:ln w="0">
          <a:noFill/>
        </a:ln>
      </xdr:spPr>
    </xdr:pic>
    <xdr:clientData/>
  </xdr:twoCellAnchor>
  <xdr:twoCellAnchor editAs="oneCell">
    <xdr:from>
      <xdr:col>7</xdr:col>
      <xdr:colOff>647640</xdr:colOff>
      <xdr:row>16</xdr:row>
      <xdr:rowOff>57240</xdr:rowOff>
    </xdr:from>
    <xdr:to>
      <xdr:col>16</xdr:col>
      <xdr:colOff>437400</xdr:colOff>
      <xdr:row>24</xdr:row>
      <xdr:rowOff>84960</xdr:rowOff>
    </xdr:to>
    <xdr:pic>
      <xdr:nvPicPr>
        <xdr:cNvPr id="62" name="Image 12" descr=""/>
        <xdr:cNvPicPr/>
      </xdr:nvPicPr>
      <xdr:blipFill>
        <a:blip r:embed="rId12"/>
        <a:stretch/>
      </xdr:blipFill>
      <xdr:spPr>
        <a:xfrm>
          <a:off x="5723280" y="3257640"/>
          <a:ext cx="7219080" cy="1627920"/>
        </a:xfrm>
        <a:prstGeom prst="rect">
          <a:avLst/>
        </a:prstGeom>
        <a:ln w="0">
          <a:noFill/>
        </a:ln>
      </xdr:spPr>
    </xdr:pic>
    <xdr:clientData/>
  </xdr:twoCellAnchor>
  <xdr:twoCellAnchor editAs="oneCell">
    <xdr:from>
      <xdr:col>9</xdr:col>
      <xdr:colOff>438120</xdr:colOff>
      <xdr:row>25</xdr:row>
      <xdr:rowOff>152280</xdr:rowOff>
    </xdr:from>
    <xdr:to>
      <xdr:col>14</xdr:col>
      <xdr:colOff>646920</xdr:colOff>
      <xdr:row>32</xdr:row>
      <xdr:rowOff>104040</xdr:rowOff>
    </xdr:to>
    <xdr:pic>
      <xdr:nvPicPr>
        <xdr:cNvPr id="63" name="Image 13" descr=""/>
        <xdr:cNvPicPr/>
      </xdr:nvPicPr>
      <xdr:blipFill>
        <a:blip r:embed="rId13"/>
        <a:stretch/>
      </xdr:blipFill>
      <xdr:spPr>
        <a:xfrm>
          <a:off x="7164720" y="5153040"/>
          <a:ext cx="4336200" cy="1351800"/>
        </a:xfrm>
        <a:prstGeom prst="rect">
          <a:avLst/>
        </a:prstGeom>
        <a:ln w="0">
          <a:noFill/>
        </a:ln>
      </xdr:spPr>
    </xdr:pic>
    <xdr:clientData/>
  </xdr:twoCellAnchor>
</xdr:wsDr>
</file>

<file path=xl/drawings/drawing1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209520</xdr:colOff>
      <xdr:row>26</xdr:row>
      <xdr:rowOff>171360</xdr:rowOff>
    </xdr:from>
    <xdr:to>
      <xdr:col>7</xdr:col>
      <xdr:colOff>428040</xdr:colOff>
      <xdr:row>47</xdr:row>
      <xdr:rowOff>56520</xdr:rowOff>
    </xdr:to>
    <xdr:pic>
      <xdr:nvPicPr>
        <xdr:cNvPr id="64" name="Image 2" descr=""/>
        <xdr:cNvPicPr/>
      </xdr:nvPicPr>
      <xdr:blipFill>
        <a:blip r:embed="rId1"/>
        <a:stretch/>
      </xdr:blipFill>
      <xdr:spPr>
        <a:xfrm>
          <a:off x="331920" y="5772240"/>
          <a:ext cx="8379720" cy="4085640"/>
        </a:xfrm>
        <a:prstGeom prst="rect">
          <a:avLst/>
        </a:prstGeom>
        <a:ln w="0">
          <a:noFill/>
        </a:ln>
      </xdr:spPr>
    </xdr:pic>
    <xdr:clientData/>
  </xdr:twoCellAnchor>
  <xdr:twoCellAnchor editAs="oneCell">
    <xdr:from>
      <xdr:col>5</xdr:col>
      <xdr:colOff>247680</xdr:colOff>
      <xdr:row>14</xdr:row>
      <xdr:rowOff>133200</xdr:rowOff>
    </xdr:from>
    <xdr:to>
      <xdr:col>9</xdr:col>
      <xdr:colOff>104040</xdr:colOff>
      <xdr:row>27</xdr:row>
      <xdr:rowOff>8640</xdr:rowOff>
    </xdr:to>
    <xdr:pic>
      <xdr:nvPicPr>
        <xdr:cNvPr id="65" name="Image 3" descr=""/>
        <xdr:cNvPicPr/>
      </xdr:nvPicPr>
      <xdr:blipFill>
        <a:blip r:embed="rId2"/>
        <a:stretch/>
      </xdr:blipFill>
      <xdr:spPr>
        <a:xfrm>
          <a:off x="6880320" y="3333600"/>
          <a:ext cx="4338000" cy="2475720"/>
        </a:xfrm>
        <a:prstGeom prst="rect">
          <a:avLst/>
        </a:prstGeom>
        <a:ln w="0">
          <a:noFill/>
        </a:ln>
      </xdr:spPr>
    </xdr:pic>
    <xdr:clientData/>
  </xdr:twoCellAnchor>
  <xdr:twoCellAnchor editAs="oneCell">
    <xdr:from>
      <xdr:col>1</xdr:col>
      <xdr:colOff>76320</xdr:colOff>
      <xdr:row>48</xdr:row>
      <xdr:rowOff>114480</xdr:rowOff>
    </xdr:from>
    <xdr:to>
      <xdr:col>4</xdr:col>
      <xdr:colOff>104040</xdr:colOff>
      <xdr:row>53</xdr:row>
      <xdr:rowOff>9000</xdr:rowOff>
    </xdr:to>
    <xdr:pic>
      <xdr:nvPicPr>
        <xdr:cNvPr id="66" name="Image 4" descr=""/>
        <xdr:cNvPicPr/>
      </xdr:nvPicPr>
      <xdr:blipFill>
        <a:blip r:embed="rId3"/>
        <a:stretch/>
      </xdr:blipFill>
      <xdr:spPr>
        <a:xfrm>
          <a:off x="198720" y="10115640"/>
          <a:ext cx="5712480" cy="894600"/>
        </a:xfrm>
        <a:prstGeom prst="rect">
          <a:avLst/>
        </a:prstGeom>
        <a:ln w="0">
          <a:noFill/>
        </a:ln>
      </xdr:spPr>
    </xdr:pic>
    <xdr:clientData/>
  </xdr:twoCellAnchor>
  <xdr:twoCellAnchor editAs="oneCell">
    <xdr:from>
      <xdr:col>1</xdr:col>
      <xdr:colOff>333360</xdr:colOff>
      <xdr:row>54</xdr:row>
      <xdr:rowOff>95400</xdr:rowOff>
    </xdr:from>
    <xdr:to>
      <xdr:col>4</xdr:col>
      <xdr:colOff>370800</xdr:colOff>
      <xdr:row>60</xdr:row>
      <xdr:rowOff>113760</xdr:rowOff>
    </xdr:to>
    <xdr:pic>
      <xdr:nvPicPr>
        <xdr:cNvPr id="67" name="Image 5" descr=""/>
        <xdr:cNvPicPr/>
      </xdr:nvPicPr>
      <xdr:blipFill>
        <a:blip r:embed="rId4"/>
        <a:stretch/>
      </xdr:blipFill>
      <xdr:spPr>
        <a:xfrm>
          <a:off x="455760" y="11296800"/>
          <a:ext cx="5722200" cy="1218600"/>
        </a:xfrm>
        <a:prstGeom prst="rect">
          <a:avLst/>
        </a:prstGeom>
        <a:ln w="0">
          <a:noFill/>
        </a:ln>
      </xdr:spPr>
    </xdr:pic>
    <xdr:clientData/>
  </xdr:twoCellAnchor>
  <xdr:twoCellAnchor editAs="oneCell">
    <xdr:from>
      <xdr:col>1</xdr:col>
      <xdr:colOff>76320</xdr:colOff>
      <xdr:row>61</xdr:row>
      <xdr:rowOff>76320</xdr:rowOff>
    </xdr:from>
    <xdr:to>
      <xdr:col>4</xdr:col>
      <xdr:colOff>18360</xdr:colOff>
      <xdr:row>68</xdr:row>
      <xdr:rowOff>47160</xdr:rowOff>
    </xdr:to>
    <xdr:pic>
      <xdr:nvPicPr>
        <xdr:cNvPr id="68" name="Image 6" descr=""/>
        <xdr:cNvPicPr/>
      </xdr:nvPicPr>
      <xdr:blipFill>
        <a:blip r:embed="rId5"/>
        <a:stretch/>
      </xdr:blipFill>
      <xdr:spPr>
        <a:xfrm>
          <a:off x="198720" y="12677760"/>
          <a:ext cx="5626800" cy="1371240"/>
        </a:xfrm>
        <a:prstGeom prst="rect">
          <a:avLst/>
        </a:prstGeom>
        <a:ln w="0">
          <a:noFill/>
        </a:ln>
      </xdr:spPr>
    </xdr:pic>
    <xdr:clientData/>
  </xdr:twoCellAnchor>
  <xdr:twoCellAnchor editAs="oneCell">
    <xdr:from>
      <xdr:col>1</xdr:col>
      <xdr:colOff>142920</xdr:colOff>
      <xdr:row>69</xdr:row>
      <xdr:rowOff>190440</xdr:rowOff>
    </xdr:from>
    <xdr:to>
      <xdr:col>4</xdr:col>
      <xdr:colOff>94680</xdr:colOff>
      <xdr:row>73</xdr:row>
      <xdr:rowOff>84960</xdr:rowOff>
    </xdr:to>
    <xdr:pic>
      <xdr:nvPicPr>
        <xdr:cNvPr id="69" name="Image 7" descr=""/>
        <xdr:cNvPicPr/>
      </xdr:nvPicPr>
      <xdr:blipFill>
        <a:blip r:embed="rId6"/>
        <a:stretch/>
      </xdr:blipFill>
      <xdr:spPr>
        <a:xfrm>
          <a:off x="265320" y="14392080"/>
          <a:ext cx="5636520" cy="694800"/>
        </a:xfrm>
        <a:prstGeom prst="rect">
          <a:avLst/>
        </a:prstGeom>
        <a:ln w="0">
          <a:noFill/>
        </a:ln>
      </xdr:spPr>
    </xdr:pic>
    <xdr:clientData/>
  </xdr:twoCellAnchor>
  <xdr:twoCellAnchor editAs="oneCell">
    <xdr:from>
      <xdr:col>1</xdr:col>
      <xdr:colOff>228600</xdr:colOff>
      <xdr:row>15</xdr:row>
      <xdr:rowOff>66600</xdr:rowOff>
    </xdr:from>
    <xdr:to>
      <xdr:col>4</xdr:col>
      <xdr:colOff>266040</xdr:colOff>
      <xdr:row>25</xdr:row>
      <xdr:rowOff>199440</xdr:rowOff>
    </xdr:to>
    <xdr:pic>
      <xdr:nvPicPr>
        <xdr:cNvPr id="70" name="Image 8" descr=""/>
        <xdr:cNvPicPr/>
      </xdr:nvPicPr>
      <xdr:blipFill>
        <a:blip r:embed="rId7"/>
        <a:stretch/>
      </xdr:blipFill>
      <xdr:spPr>
        <a:xfrm>
          <a:off x="351000" y="3467160"/>
          <a:ext cx="5722200" cy="2133000"/>
        </a:xfrm>
        <a:prstGeom prst="rect">
          <a:avLst/>
        </a:prstGeom>
        <a:ln w="0">
          <a:noFill/>
        </a:ln>
      </xdr:spPr>
    </xdr:pic>
    <xdr:clientData/>
  </xdr:twoCellAnchor>
</xdr:wsDr>
</file>

<file path=xl/drawings/drawing1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371520</xdr:colOff>
      <xdr:row>4</xdr:row>
      <xdr:rowOff>133200</xdr:rowOff>
    </xdr:from>
    <xdr:to>
      <xdr:col>14</xdr:col>
      <xdr:colOff>485280</xdr:colOff>
      <xdr:row>24</xdr:row>
      <xdr:rowOff>132480</xdr:rowOff>
    </xdr:to>
    <xdr:pic>
      <xdr:nvPicPr>
        <xdr:cNvPr id="71" name="Image 1" descr=""/>
        <xdr:cNvPicPr/>
      </xdr:nvPicPr>
      <xdr:blipFill>
        <a:blip r:embed="rId1"/>
        <a:stretch/>
      </xdr:blipFill>
      <xdr:spPr>
        <a:xfrm>
          <a:off x="493920" y="1333440"/>
          <a:ext cx="10845360" cy="3999600"/>
        </a:xfrm>
        <a:prstGeom prst="rect">
          <a:avLst/>
        </a:prstGeom>
        <a:ln w="0">
          <a:noFill/>
        </a:ln>
      </xdr:spPr>
    </xdr:pic>
    <xdr:clientData/>
  </xdr:twoCellAnchor>
  <xdr:twoCellAnchor editAs="oneCell">
    <xdr:from>
      <xdr:col>15</xdr:col>
      <xdr:colOff>600120</xdr:colOff>
      <xdr:row>40</xdr:row>
      <xdr:rowOff>123840</xdr:rowOff>
    </xdr:from>
    <xdr:to>
      <xdr:col>24</xdr:col>
      <xdr:colOff>370800</xdr:colOff>
      <xdr:row>74</xdr:row>
      <xdr:rowOff>37440</xdr:rowOff>
    </xdr:to>
    <xdr:pic>
      <xdr:nvPicPr>
        <xdr:cNvPr id="72" name="Image 2" descr=""/>
        <xdr:cNvPicPr/>
      </xdr:nvPicPr>
      <xdr:blipFill>
        <a:blip r:embed="rId2"/>
        <a:stretch/>
      </xdr:blipFill>
      <xdr:spPr>
        <a:xfrm>
          <a:off x="12279600" y="8524800"/>
          <a:ext cx="7200360" cy="7114680"/>
        </a:xfrm>
        <a:prstGeom prst="rect">
          <a:avLst/>
        </a:prstGeom>
        <a:ln w="0">
          <a:noFill/>
        </a:ln>
      </xdr:spPr>
    </xdr:pic>
    <xdr:clientData/>
  </xdr:twoCellAnchor>
  <xdr:twoCellAnchor editAs="oneCell">
    <xdr:from>
      <xdr:col>16</xdr:col>
      <xdr:colOff>133200</xdr:colOff>
      <xdr:row>3</xdr:row>
      <xdr:rowOff>114480</xdr:rowOff>
    </xdr:from>
    <xdr:to>
      <xdr:col>24</xdr:col>
      <xdr:colOff>132480</xdr:colOff>
      <xdr:row>39</xdr:row>
      <xdr:rowOff>161280</xdr:rowOff>
    </xdr:to>
    <xdr:pic>
      <xdr:nvPicPr>
        <xdr:cNvPr id="73" name="Image 1" descr=""/>
        <xdr:cNvPicPr/>
      </xdr:nvPicPr>
      <xdr:blipFill>
        <a:blip r:embed="rId3"/>
        <a:stretch/>
      </xdr:blipFill>
      <xdr:spPr>
        <a:xfrm>
          <a:off x="12638160" y="1114560"/>
          <a:ext cx="6603480" cy="7247880"/>
        </a:xfrm>
        <a:prstGeom prst="rect">
          <a:avLst/>
        </a:prstGeom>
        <a:ln w="0">
          <a:noFill/>
        </a:ln>
      </xdr:spPr>
    </xdr:pic>
    <xdr:clientData/>
  </xdr:twoCellAnchor>
</xdr:wsDr>
</file>

<file path=xl/drawings/drawing1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266760</xdr:colOff>
      <xdr:row>14</xdr:row>
      <xdr:rowOff>38160</xdr:rowOff>
    </xdr:from>
    <xdr:to>
      <xdr:col>6</xdr:col>
      <xdr:colOff>370800</xdr:colOff>
      <xdr:row>34</xdr:row>
      <xdr:rowOff>180360</xdr:rowOff>
    </xdr:to>
    <xdr:pic>
      <xdr:nvPicPr>
        <xdr:cNvPr id="74" name="Image 1" descr=""/>
        <xdr:cNvPicPr/>
      </xdr:nvPicPr>
      <xdr:blipFill>
        <a:blip r:embed="rId1"/>
        <a:stretch/>
      </xdr:blipFill>
      <xdr:spPr>
        <a:xfrm>
          <a:off x="389160" y="2905200"/>
          <a:ext cx="5532840" cy="4142520"/>
        </a:xfrm>
        <a:prstGeom prst="rect">
          <a:avLst/>
        </a:prstGeom>
        <a:ln w="0">
          <a:noFill/>
        </a:ln>
      </xdr:spPr>
    </xdr:pic>
    <xdr:clientData/>
  </xdr:twoCellAnchor>
  <xdr:twoCellAnchor editAs="oneCell">
    <xdr:from>
      <xdr:col>1</xdr:col>
      <xdr:colOff>181080</xdr:colOff>
      <xdr:row>34</xdr:row>
      <xdr:rowOff>190440</xdr:rowOff>
    </xdr:from>
    <xdr:to>
      <xdr:col>6</xdr:col>
      <xdr:colOff>370800</xdr:colOff>
      <xdr:row>52</xdr:row>
      <xdr:rowOff>132480</xdr:rowOff>
    </xdr:to>
    <xdr:pic>
      <xdr:nvPicPr>
        <xdr:cNvPr id="75" name="Image 2" descr=""/>
        <xdr:cNvPicPr/>
      </xdr:nvPicPr>
      <xdr:blipFill>
        <a:blip r:embed="rId2"/>
        <a:stretch/>
      </xdr:blipFill>
      <xdr:spPr>
        <a:xfrm>
          <a:off x="303480" y="7057800"/>
          <a:ext cx="5618520" cy="3542760"/>
        </a:xfrm>
        <a:prstGeom prst="rect">
          <a:avLst/>
        </a:prstGeom>
        <a:ln w="0">
          <a:noFill/>
        </a:ln>
      </xdr:spPr>
    </xdr:pic>
    <xdr:clientData/>
  </xdr:twoCellAnchor>
  <xdr:twoCellAnchor editAs="oneCell">
    <xdr:from>
      <xdr:col>1</xdr:col>
      <xdr:colOff>228600</xdr:colOff>
      <xdr:row>54</xdr:row>
      <xdr:rowOff>66600</xdr:rowOff>
    </xdr:from>
    <xdr:to>
      <xdr:col>6</xdr:col>
      <xdr:colOff>428040</xdr:colOff>
      <xdr:row>63</xdr:row>
      <xdr:rowOff>46800</xdr:rowOff>
    </xdr:to>
    <xdr:pic>
      <xdr:nvPicPr>
        <xdr:cNvPr id="76" name="Image 3" descr=""/>
        <xdr:cNvPicPr/>
      </xdr:nvPicPr>
      <xdr:blipFill>
        <a:blip r:embed="rId3"/>
        <a:stretch/>
      </xdr:blipFill>
      <xdr:spPr>
        <a:xfrm>
          <a:off x="351000" y="10934640"/>
          <a:ext cx="5628240" cy="1780560"/>
        </a:xfrm>
        <a:prstGeom prst="rect">
          <a:avLst/>
        </a:prstGeom>
        <a:ln w="0">
          <a:noFill/>
        </a:ln>
      </xdr:spPr>
    </xdr:pic>
    <xdr:clientData/>
  </xdr:twoCellAnchor>
  <xdr:twoCellAnchor editAs="oneCell">
    <xdr:from>
      <xdr:col>1</xdr:col>
      <xdr:colOff>343080</xdr:colOff>
      <xdr:row>63</xdr:row>
      <xdr:rowOff>76320</xdr:rowOff>
    </xdr:from>
    <xdr:to>
      <xdr:col>6</xdr:col>
      <xdr:colOff>542520</xdr:colOff>
      <xdr:row>69</xdr:row>
      <xdr:rowOff>142200</xdr:rowOff>
    </xdr:to>
    <xdr:pic>
      <xdr:nvPicPr>
        <xdr:cNvPr id="77" name="Image 4" descr=""/>
        <xdr:cNvPicPr/>
      </xdr:nvPicPr>
      <xdr:blipFill>
        <a:blip r:embed="rId4"/>
        <a:stretch/>
      </xdr:blipFill>
      <xdr:spPr>
        <a:xfrm>
          <a:off x="465480" y="12744720"/>
          <a:ext cx="5628240" cy="1265760"/>
        </a:xfrm>
        <a:prstGeom prst="rect">
          <a:avLst/>
        </a:prstGeom>
        <a:ln w="0">
          <a:noFill/>
        </a:ln>
      </xdr:spPr>
    </xdr:pic>
    <xdr:clientData/>
  </xdr:twoCellAnchor>
  <xdr:twoCellAnchor editAs="oneCell">
    <xdr:from>
      <xdr:col>1</xdr:col>
      <xdr:colOff>314280</xdr:colOff>
      <xdr:row>70</xdr:row>
      <xdr:rowOff>57240</xdr:rowOff>
    </xdr:from>
    <xdr:to>
      <xdr:col>6</xdr:col>
      <xdr:colOff>513720</xdr:colOff>
      <xdr:row>79</xdr:row>
      <xdr:rowOff>113760</xdr:rowOff>
    </xdr:to>
    <xdr:pic>
      <xdr:nvPicPr>
        <xdr:cNvPr id="78" name="Image 5" descr=""/>
        <xdr:cNvPicPr/>
      </xdr:nvPicPr>
      <xdr:blipFill>
        <a:blip r:embed="rId5"/>
        <a:stretch/>
      </xdr:blipFill>
      <xdr:spPr>
        <a:xfrm>
          <a:off x="436680" y="14125680"/>
          <a:ext cx="5628240" cy="1856880"/>
        </a:xfrm>
        <a:prstGeom prst="rect">
          <a:avLst/>
        </a:prstGeom>
        <a:ln w="0">
          <a:noFill/>
        </a:ln>
      </xdr:spPr>
    </xdr:pic>
    <xdr:clientData/>
  </xdr:twoCellAnchor>
  <xdr:twoCellAnchor editAs="oneCell">
    <xdr:from>
      <xdr:col>1</xdr:col>
      <xdr:colOff>371520</xdr:colOff>
      <xdr:row>80</xdr:row>
      <xdr:rowOff>114480</xdr:rowOff>
    </xdr:from>
    <xdr:to>
      <xdr:col>6</xdr:col>
      <xdr:colOff>561240</xdr:colOff>
      <xdr:row>100</xdr:row>
      <xdr:rowOff>66240</xdr:rowOff>
    </xdr:to>
    <xdr:pic>
      <xdr:nvPicPr>
        <xdr:cNvPr id="79" name="Image 6" descr=""/>
        <xdr:cNvPicPr/>
      </xdr:nvPicPr>
      <xdr:blipFill>
        <a:blip r:embed="rId6"/>
        <a:stretch/>
      </xdr:blipFill>
      <xdr:spPr>
        <a:xfrm>
          <a:off x="493920" y="16183080"/>
          <a:ext cx="5618520" cy="3952440"/>
        </a:xfrm>
        <a:prstGeom prst="rect">
          <a:avLst/>
        </a:prstGeom>
        <a:ln w="0">
          <a:noFill/>
        </a:ln>
      </xdr:spPr>
    </xdr:pic>
    <xdr:clientData/>
  </xdr:twoCellAnchor>
  <xdr:twoCellAnchor editAs="oneCell">
    <xdr:from>
      <xdr:col>6</xdr:col>
      <xdr:colOff>457200</xdr:colOff>
      <xdr:row>15</xdr:row>
      <xdr:rowOff>9360</xdr:rowOff>
    </xdr:from>
    <xdr:to>
      <xdr:col>11</xdr:col>
      <xdr:colOff>1599480</xdr:colOff>
      <xdr:row>30</xdr:row>
      <xdr:rowOff>56160</xdr:rowOff>
    </xdr:to>
    <xdr:pic>
      <xdr:nvPicPr>
        <xdr:cNvPr id="80" name="Image 7" descr=""/>
        <xdr:cNvPicPr/>
      </xdr:nvPicPr>
      <xdr:blipFill>
        <a:blip r:embed="rId7"/>
        <a:stretch/>
      </xdr:blipFill>
      <xdr:spPr>
        <a:xfrm>
          <a:off x="6008400" y="3076560"/>
          <a:ext cx="5269680" cy="3047040"/>
        </a:xfrm>
        <a:prstGeom prst="rect">
          <a:avLst/>
        </a:prstGeom>
        <a:ln w="0">
          <a:noFill/>
        </a:ln>
      </xdr:spPr>
    </xdr:pic>
    <xdr:clientData/>
  </xdr:twoCellAnchor>
  <xdr:twoCellAnchor editAs="oneCell">
    <xdr:from>
      <xdr:col>6</xdr:col>
      <xdr:colOff>495360</xdr:colOff>
      <xdr:row>31</xdr:row>
      <xdr:rowOff>0</xdr:rowOff>
    </xdr:from>
    <xdr:to>
      <xdr:col>11</xdr:col>
      <xdr:colOff>1637640</xdr:colOff>
      <xdr:row>35</xdr:row>
      <xdr:rowOff>104040</xdr:rowOff>
    </xdr:to>
    <xdr:pic>
      <xdr:nvPicPr>
        <xdr:cNvPr id="81" name="Image 8" descr=""/>
        <xdr:cNvPicPr/>
      </xdr:nvPicPr>
      <xdr:blipFill>
        <a:blip r:embed="rId8"/>
        <a:stretch/>
      </xdr:blipFill>
      <xdr:spPr>
        <a:xfrm>
          <a:off x="6046560" y="6267600"/>
          <a:ext cx="5269680" cy="903960"/>
        </a:xfrm>
        <a:prstGeom prst="rect">
          <a:avLst/>
        </a:prstGeom>
        <a:ln w="0">
          <a:noFill/>
        </a:ln>
      </xdr:spPr>
    </xdr:pic>
    <xdr:clientData/>
  </xdr:twoCellAnchor>
  <xdr:twoCellAnchor editAs="oneCell">
    <xdr:from>
      <xdr:col>6</xdr:col>
      <xdr:colOff>514440</xdr:colOff>
      <xdr:row>36</xdr:row>
      <xdr:rowOff>114480</xdr:rowOff>
    </xdr:from>
    <xdr:to>
      <xdr:col>11</xdr:col>
      <xdr:colOff>1647360</xdr:colOff>
      <xdr:row>50</xdr:row>
      <xdr:rowOff>161280</xdr:rowOff>
    </xdr:to>
    <xdr:pic>
      <xdr:nvPicPr>
        <xdr:cNvPr id="82" name="Image 10" descr=""/>
        <xdr:cNvPicPr/>
      </xdr:nvPicPr>
      <xdr:blipFill>
        <a:blip r:embed="rId9"/>
        <a:stretch/>
      </xdr:blipFill>
      <xdr:spPr>
        <a:xfrm>
          <a:off x="6065640" y="7382160"/>
          <a:ext cx="5260320" cy="2846880"/>
        </a:xfrm>
        <a:prstGeom prst="rect">
          <a:avLst/>
        </a:prstGeom>
        <a:ln w="0">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6</xdr:col>
      <xdr:colOff>228600</xdr:colOff>
      <xdr:row>7</xdr:row>
      <xdr:rowOff>114480</xdr:rowOff>
    </xdr:from>
    <xdr:to>
      <xdr:col>12</xdr:col>
      <xdr:colOff>824400</xdr:colOff>
      <xdr:row>27</xdr:row>
      <xdr:rowOff>171000</xdr:rowOff>
    </xdr:to>
    <xdr:pic>
      <xdr:nvPicPr>
        <xdr:cNvPr id="0" name="Image 1" descr=""/>
        <xdr:cNvPicPr/>
      </xdr:nvPicPr>
      <xdr:blipFill>
        <a:blip r:embed="rId1"/>
        <a:stretch/>
      </xdr:blipFill>
      <xdr:spPr>
        <a:xfrm>
          <a:off x="16909920" y="1924200"/>
          <a:ext cx="5549040" cy="4457160"/>
        </a:xfrm>
        <a:prstGeom prst="rect">
          <a:avLst/>
        </a:prstGeom>
        <a:ln w="0">
          <a:noFill/>
        </a:ln>
      </xdr:spPr>
    </xdr:pic>
    <xdr:clientData/>
  </xdr:twoCellAnchor>
</xdr:wsDr>
</file>

<file path=xl/drawings/drawing2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419040</xdr:colOff>
      <xdr:row>16</xdr:row>
      <xdr:rowOff>9360</xdr:rowOff>
    </xdr:from>
    <xdr:to>
      <xdr:col>8</xdr:col>
      <xdr:colOff>408960</xdr:colOff>
      <xdr:row>31</xdr:row>
      <xdr:rowOff>151560</xdr:rowOff>
    </xdr:to>
    <xdr:pic>
      <xdr:nvPicPr>
        <xdr:cNvPr id="83" name="Image 1" descr=""/>
        <xdr:cNvPicPr/>
      </xdr:nvPicPr>
      <xdr:blipFill>
        <a:blip r:embed="rId1"/>
        <a:stretch/>
      </xdr:blipFill>
      <xdr:spPr>
        <a:xfrm>
          <a:off x="541440" y="3276360"/>
          <a:ext cx="8700840" cy="3142800"/>
        </a:xfrm>
        <a:prstGeom prst="rect">
          <a:avLst/>
        </a:prstGeom>
        <a:ln w="0">
          <a:noFill/>
        </a:ln>
      </xdr:spPr>
    </xdr:pic>
    <xdr:clientData/>
  </xdr:twoCellAnchor>
  <xdr:twoCellAnchor editAs="oneCell">
    <xdr:from>
      <xdr:col>2</xdr:col>
      <xdr:colOff>152280</xdr:colOff>
      <xdr:row>33</xdr:row>
      <xdr:rowOff>104760</xdr:rowOff>
    </xdr:from>
    <xdr:to>
      <xdr:col>6</xdr:col>
      <xdr:colOff>932760</xdr:colOff>
      <xdr:row>60</xdr:row>
      <xdr:rowOff>46800</xdr:rowOff>
    </xdr:to>
    <xdr:pic>
      <xdr:nvPicPr>
        <xdr:cNvPr id="84" name="Image 2" descr=""/>
        <xdr:cNvPicPr/>
      </xdr:nvPicPr>
      <xdr:blipFill>
        <a:blip r:embed="rId2"/>
        <a:stretch/>
      </xdr:blipFill>
      <xdr:spPr>
        <a:xfrm>
          <a:off x="1100160" y="6772320"/>
          <a:ext cx="5433480" cy="5342760"/>
        </a:xfrm>
        <a:prstGeom prst="rect">
          <a:avLst/>
        </a:prstGeom>
        <a:ln w="0">
          <a:noFill/>
        </a:ln>
      </xdr:spPr>
    </xdr:pic>
    <xdr:clientData/>
  </xdr:twoCellAnchor>
  <xdr:twoCellAnchor editAs="oneCell">
    <xdr:from>
      <xdr:col>2</xdr:col>
      <xdr:colOff>47520</xdr:colOff>
      <xdr:row>61</xdr:row>
      <xdr:rowOff>133200</xdr:rowOff>
    </xdr:from>
    <xdr:to>
      <xdr:col>6</xdr:col>
      <xdr:colOff>932760</xdr:colOff>
      <xdr:row>63</xdr:row>
      <xdr:rowOff>189720</xdr:rowOff>
    </xdr:to>
    <xdr:pic>
      <xdr:nvPicPr>
        <xdr:cNvPr id="85" name="Image 3" descr=""/>
        <xdr:cNvPicPr/>
      </xdr:nvPicPr>
      <xdr:blipFill>
        <a:blip r:embed="rId3"/>
        <a:stretch/>
      </xdr:blipFill>
      <xdr:spPr>
        <a:xfrm>
          <a:off x="995400" y="12401280"/>
          <a:ext cx="5538240" cy="456840"/>
        </a:xfrm>
        <a:prstGeom prst="rect">
          <a:avLst/>
        </a:prstGeom>
        <a:ln w="0">
          <a:noFill/>
        </a:ln>
      </xdr:spPr>
    </xdr:pic>
    <xdr:clientData/>
  </xdr:twoCellAnchor>
  <xdr:twoCellAnchor editAs="oneCell">
    <xdr:from>
      <xdr:col>2</xdr:col>
      <xdr:colOff>85680</xdr:colOff>
      <xdr:row>66</xdr:row>
      <xdr:rowOff>104760</xdr:rowOff>
    </xdr:from>
    <xdr:to>
      <xdr:col>6</xdr:col>
      <xdr:colOff>970920</xdr:colOff>
      <xdr:row>72</xdr:row>
      <xdr:rowOff>189720</xdr:rowOff>
    </xdr:to>
    <xdr:pic>
      <xdr:nvPicPr>
        <xdr:cNvPr id="86" name="Image 4" descr=""/>
        <xdr:cNvPicPr/>
      </xdr:nvPicPr>
      <xdr:blipFill>
        <a:blip r:embed="rId4"/>
        <a:stretch/>
      </xdr:blipFill>
      <xdr:spPr>
        <a:xfrm>
          <a:off x="1033560" y="13372920"/>
          <a:ext cx="5538240" cy="1285200"/>
        </a:xfrm>
        <a:prstGeom prst="rect">
          <a:avLst/>
        </a:prstGeom>
        <a:ln w="0">
          <a:noFill/>
        </a:ln>
      </xdr:spPr>
    </xdr:pic>
    <xdr:clientData/>
  </xdr:twoCellAnchor>
  <xdr:twoCellAnchor editAs="oneCell">
    <xdr:from>
      <xdr:col>11</xdr:col>
      <xdr:colOff>257040</xdr:colOff>
      <xdr:row>15</xdr:row>
      <xdr:rowOff>66600</xdr:rowOff>
    </xdr:from>
    <xdr:to>
      <xdr:col>20</xdr:col>
      <xdr:colOff>380160</xdr:colOff>
      <xdr:row>33</xdr:row>
      <xdr:rowOff>123120</xdr:rowOff>
    </xdr:to>
    <xdr:pic>
      <xdr:nvPicPr>
        <xdr:cNvPr id="87" name="Image 5" descr=""/>
        <xdr:cNvPicPr/>
      </xdr:nvPicPr>
      <xdr:blipFill>
        <a:blip r:embed="rId5"/>
        <a:stretch/>
      </xdr:blipFill>
      <xdr:spPr>
        <a:xfrm>
          <a:off x="12043800" y="3133800"/>
          <a:ext cx="7552800" cy="3656880"/>
        </a:xfrm>
        <a:prstGeom prst="rect">
          <a:avLst/>
        </a:prstGeom>
        <a:ln w="0">
          <a:noFill/>
        </a:ln>
      </xdr:spPr>
    </xdr:pic>
    <xdr:clientData/>
  </xdr:twoCellAnchor>
</xdr:wsDr>
</file>

<file path=xl/drawings/drawing2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171360</xdr:colOff>
      <xdr:row>10</xdr:row>
      <xdr:rowOff>181080</xdr:rowOff>
    </xdr:from>
    <xdr:to>
      <xdr:col>8</xdr:col>
      <xdr:colOff>142200</xdr:colOff>
      <xdr:row>19</xdr:row>
      <xdr:rowOff>189720</xdr:rowOff>
    </xdr:to>
    <xdr:pic>
      <xdr:nvPicPr>
        <xdr:cNvPr id="88" name="Image 1" descr=""/>
        <xdr:cNvPicPr/>
      </xdr:nvPicPr>
      <xdr:blipFill>
        <a:blip r:embed="rId1"/>
        <a:stretch/>
      </xdr:blipFill>
      <xdr:spPr>
        <a:xfrm>
          <a:off x="293760" y="2247840"/>
          <a:ext cx="8205120" cy="1809000"/>
        </a:xfrm>
        <a:prstGeom prst="rect">
          <a:avLst/>
        </a:prstGeom>
        <a:ln w="0">
          <a:noFill/>
        </a:ln>
      </xdr:spPr>
    </xdr:pic>
    <xdr:clientData/>
  </xdr:twoCellAnchor>
  <xdr:twoCellAnchor editAs="oneCell">
    <xdr:from>
      <xdr:col>1</xdr:col>
      <xdr:colOff>133200</xdr:colOff>
      <xdr:row>12</xdr:row>
      <xdr:rowOff>47520</xdr:rowOff>
    </xdr:from>
    <xdr:to>
      <xdr:col>7</xdr:col>
      <xdr:colOff>675360</xdr:colOff>
      <xdr:row>19</xdr:row>
      <xdr:rowOff>180000</xdr:rowOff>
    </xdr:to>
    <xdr:pic>
      <xdr:nvPicPr>
        <xdr:cNvPr id="89" name="Image 2" descr=""/>
        <xdr:cNvPicPr/>
      </xdr:nvPicPr>
      <xdr:blipFill>
        <a:blip r:embed="rId2"/>
        <a:stretch/>
      </xdr:blipFill>
      <xdr:spPr>
        <a:xfrm>
          <a:off x="255600" y="2514600"/>
          <a:ext cx="7950960" cy="1532520"/>
        </a:xfrm>
        <a:prstGeom prst="rect">
          <a:avLst/>
        </a:prstGeom>
        <a:ln w="0">
          <a:noFill/>
        </a:ln>
      </xdr:spPr>
    </xdr:pic>
    <xdr:clientData/>
  </xdr:twoCellAnchor>
  <xdr:twoCellAnchor editAs="oneCell">
    <xdr:from>
      <xdr:col>1</xdr:col>
      <xdr:colOff>590400</xdr:colOff>
      <xdr:row>20</xdr:row>
      <xdr:rowOff>95400</xdr:rowOff>
    </xdr:from>
    <xdr:to>
      <xdr:col>5</xdr:col>
      <xdr:colOff>532440</xdr:colOff>
      <xdr:row>24</xdr:row>
      <xdr:rowOff>75600</xdr:rowOff>
    </xdr:to>
    <xdr:pic>
      <xdr:nvPicPr>
        <xdr:cNvPr id="90" name="Image 3" descr=""/>
        <xdr:cNvPicPr/>
      </xdr:nvPicPr>
      <xdr:blipFill>
        <a:blip r:embed="rId3"/>
        <a:stretch/>
      </xdr:blipFill>
      <xdr:spPr>
        <a:xfrm>
          <a:off x="712800" y="4162680"/>
          <a:ext cx="5699880" cy="780120"/>
        </a:xfrm>
        <a:prstGeom prst="rect">
          <a:avLst/>
        </a:prstGeom>
        <a:ln w="0">
          <a:noFill/>
        </a:ln>
      </xdr:spPr>
    </xdr:pic>
    <xdr:clientData/>
  </xdr:twoCellAnchor>
  <xdr:twoCellAnchor editAs="oneCell">
    <xdr:from>
      <xdr:col>2</xdr:col>
      <xdr:colOff>28440</xdr:colOff>
      <xdr:row>25</xdr:row>
      <xdr:rowOff>38160</xdr:rowOff>
    </xdr:from>
    <xdr:to>
      <xdr:col>5</xdr:col>
      <xdr:colOff>199080</xdr:colOff>
      <xdr:row>30</xdr:row>
      <xdr:rowOff>56520</xdr:rowOff>
    </xdr:to>
    <xdr:pic>
      <xdr:nvPicPr>
        <xdr:cNvPr id="91" name="Image 4" descr=""/>
        <xdr:cNvPicPr/>
      </xdr:nvPicPr>
      <xdr:blipFill>
        <a:blip r:embed="rId4"/>
        <a:stretch/>
      </xdr:blipFill>
      <xdr:spPr>
        <a:xfrm>
          <a:off x="976320" y="5105520"/>
          <a:ext cx="5103000" cy="1018440"/>
        </a:xfrm>
        <a:prstGeom prst="rect">
          <a:avLst/>
        </a:prstGeom>
        <a:ln w="0">
          <a:noFill/>
        </a:ln>
      </xdr:spPr>
    </xdr:pic>
    <xdr:clientData/>
  </xdr:twoCellAnchor>
  <xdr:twoCellAnchor editAs="oneCell">
    <xdr:from>
      <xdr:col>2</xdr:col>
      <xdr:colOff>76320</xdr:colOff>
      <xdr:row>31</xdr:row>
      <xdr:rowOff>66600</xdr:rowOff>
    </xdr:from>
    <xdr:to>
      <xdr:col>5</xdr:col>
      <xdr:colOff>418680</xdr:colOff>
      <xdr:row>41</xdr:row>
      <xdr:rowOff>65880</xdr:rowOff>
    </xdr:to>
    <xdr:pic>
      <xdr:nvPicPr>
        <xdr:cNvPr id="92" name="Image 5" descr=""/>
        <xdr:cNvPicPr/>
      </xdr:nvPicPr>
      <xdr:blipFill>
        <a:blip r:embed="rId5"/>
        <a:stretch/>
      </xdr:blipFill>
      <xdr:spPr>
        <a:xfrm>
          <a:off x="1024200" y="6334200"/>
          <a:ext cx="5274720" cy="1999440"/>
        </a:xfrm>
        <a:prstGeom prst="rect">
          <a:avLst/>
        </a:prstGeom>
        <a:ln w="0">
          <a:noFill/>
        </a:ln>
      </xdr:spPr>
    </xdr:pic>
    <xdr:clientData/>
  </xdr:twoCellAnchor>
  <xdr:twoCellAnchor editAs="oneCell">
    <xdr:from>
      <xdr:col>2</xdr:col>
      <xdr:colOff>85680</xdr:colOff>
      <xdr:row>41</xdr:row>
      <xdr:rowOff>162000</xdr:rowOff>
    </xdr:from>
    <xdr:to>
      <xdr:col>5</xdr:col>
      <xdr:colOff>322920</xdr:colOff>
      <xdr:row>45</xdr:row>
      <xdr:rowOff>18360</xdr:rowOff>
    </xdr:to>
    <xdr:pic>
      <xdr:nvPicPr>
        <xdr:cNvPr id="93" name="Image 6" descr=""/>
        <xdr:cNvPicPr/>
      </xdr:nvPicPr>
      <xdr:blipFill>
        <a:blip r:embed="rId6"/>
        <a:stretch/>
      </xdr:blipFill>
      <xdr:spPr>
        <a:xfrm>
          <a:off x="1033560" y="8429760"/>
          <a:ext cx="5169600" cy="656280"/>
        </a:xfrm>
        <a:prstGeom prst="rect">
          <a:avLst/>
        </a:prstGeom>
        <a:ln w="0">
          <a:noFill/>
        </a:ln>
      </xdr:spPr>
    </xdr:pic>
    <xdr:clientData/>
  </xdr:twoCellAnchor>
</xdr:wsDr>
</file>

<file path=xl/drawings/drawing2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247680</xdr:colOff>
      <xdr:row>44</xdr:row>
      <xdr:rowOff>38160</xdr:rowOff>
    </xdr:from>
    <xdr:to>
      <xdr:col>6</xdr:col>
      <xdr:colOff>1389960</xdr:colOff>
      <xdr:row>65</xdr:row>
      <xdr:rowOff>18360</xdr:rowOff>
    </xdr:to>
    <xdr:pic>
      <xdr:nvPicPr>
        <xdr:cNvPr id="94" name="Image 1" descr=""/>
        <xdr:cNvPicPr/>
      </xdr:nvPicPr>
      <xdr:blipFill>
        <a:blip r:embed="rId1"/>
        <a:stretch/>
      </xdr:blipFill>
      <xdr:spPr>
        <a:xfrm>
          <a:off x="370080" y="9372600"/>
          <a:ext cx="5270040" cy="4180680"/>
        </a:xfrm>
        <a:prstGeom prst="rect">
          <a:avLst/>
        </a:prstGeom>
        <a:ln w="0">
          <a:noFill/>
        </a:ln>
      </xdr:spPr>
    </xdr:pic>
    <xdr:clientData/>
  </xdr:twoCellAnchor>
  <xdr:twoCellAnchor editAs="oneCell">
    <xdr:from>
      <xdr:col>1</xdr:col>
      <xdr:colOff>209520</xdr:colOff>
      <xdr:row>37</xdr:row>
      <xdr:rowOff>162000</xdr:rowOff>
    </xdr:from>
    <xdr:to>
      <xdr:col>6</xdr:col>
      <xdr:colOff>1351800</xdr:colOff>
      <xdr:row>43</xdr:row>
      <xdr:rowOff>56520</xdr:rowOff>
    </xdr:to>
    <xdr:pic>
      <xdr:nvPicPr>
        <xdr:cNvPr id="95" name="Image 2" descr=""/>
        <xdr:cNvPicPr/>
      </xdr:nvPicPr>
      <xdr:blipFill>
        <a:blip r:embed="rId2"/>
        <a:stretch/>
      </xdr:blipFill>
      <xdr:spPr>
        <a:xfrm>
          <a:off x="331920" y="8096400"/>
          <a:ext cx="5270040" cy="1094760"/>
        </a:xfrm>
        <a:prstGeom prst="rect">
          <a:avLst/>
        </a:prstGeom>
        <a:ln w="0">
          <a:noFill/>
        </a:ln>
      </xdr:spPr>
    </xdr:pic>
    <xdr:clientData/>
  </xdr:twoCellAnchor>
  <xdr:twoCellAnchor editAs="oneCell">
    <xdr:from>
      <xdr:col>1</xdr:col>
      <xdr:colOff>285840</xdr:colOff>
      <xdr:row>66</xdr:row>
      <xdr:rowOff>28440</xdr:rowOff>
    </xdr:from>
    <xdr:to>
      <xdr:col>6</xdr:col>
      <xdr:colOff>1428120</xdr:colOff>
      <xdr:row>71</xdr:row>
      <xdr:rowOff>104040</xdr:rowOff>
    </xdr:to>
    <xdr:pic>
      <xdr:nvPicPr>
        <xdr:cNvPr id="96" name="Image 5" descr=""/>
        <xdr:cNvPicPr/>
      </xdr:nvPicPr>
      <xdr:blipFill>
        <a:blip r:embed="rId3"/>
        <a:stretch/>
      </xdr:blipFill>
      <xdr:spPr>
        <a:xfrm>
          <a:off x="408240" y="13763520"/>
          <a:ext cx="5270040" cy="1075680"/>
        </a:xfrm>
        <a:prstGeom prst="rect">
          <a:avLst/>
        </a:prstGeom>
        <a:ln w="0">
          <a:noFill/>
        </a:ln>
      </xdr:spPr>
    </xdr:pic>
    <xdr:clientData/>
  </xdr:twoCellAnchor>
  <xdr:twoCellAnchor editAs="oneCell">
    <xdr:from>
      <xdr:col>1</xdr:col>
      <xdr:colOff>266760</xdr:colOff>
      <xdr:row>72</xdr:row>
      <xdr:rowOff>38160</xdr:rowOff>
    </xdr:from>
    <xdr:to>
      <xdr:col>6</xdr:col>
      <xdr:colOff>1409040</xdr:colOff>
      <xdr:row>78</xdr:row>
      <xdr:rowOff>113760</xdr:rowOff>
    </xdr:to>
    <xdr:pic>
      <xdr:nvPicPr>
        <xdr:cNvPr id="97" name="Image 6" descr=""/>
        <xdr:cNvPicPr/>
      </xdr:nvPicPr>
      <xdr:blipFill>
        <a:blip r:embed="rId4"/>
        <a:stretch/>
      </xdr:blipFill>
      <xdr:spPr>
        <a:xfrm>
          <a:off x="389160" y="14973480"/>
          <a:ext cx="5270040" cy="1275480"/>
        </a:xfrm>
        <a:prstGeom prst="rect">
          <a:avLst/>
        </a:prstGeom>
        <a:ln w="0">
          <a:noFill/>
        </a:ln>
      </xdr:spPr>
    </xdr:pic>
    <xdr:clientData/>
  </xdr:twoCellAnchor>
</xdr:wsDr>
</file>

<file path=xl/drawings/drawing2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361800</xdr:colOff>
      <xdr:row>23</xdr:row>
      <xdr:rowOff>152280</xdr:rowOff>
    </xdr:from>
    <xdr:to>
      <xdr:col>8</xdr:col>
      <xdr:colOff>132480</xdr:colOff>
      <xdr:row>42</xdr:row>
      <xdr:rowOff>84960</xdr:rowOff>
    </xdr:to>
    <xdr:pic>
      <xdr:nvPicPr>
        <xdr:cNvPr id="98" name="Image 1" descr=""/>
        <xdr:cNvPicPr/>
      </xdr:nvPicPr>
      <xdr:blipFill>
        <a:blip r:embed="rId1"/>
        <a:stretch/>
      </xdr:blipFill>
      <xdr:spPr>
        <a:xfrm>
          <a:off x="484200" y="4819680"/>
          <a:ext cx="5549400" cy="3732840"/>
        </a:xfrm>
        <a:prstGeom prst="rect">
          <a:avLst/>
        </a:prstGeom>
        <a:ln w="0">
          <a:noFill/>
        </a:ln>
      </xdr:spPr>
    </xdr:pic>
    <xdr:clientData/>
  </xdr:twoCellAnchor>
  <xdr:twoCellAnchor editAs="oneCell">
    <xdr:from>
      <xdr:col>1</xdr:col>
      <xdr:colOff>371520</xdr:colOff>
      <xdr:row>42</xdr:row>
      <xdr:rowOff>171360</xdr:rowOff>
    </xdr:from>
    <xdr:to>
      <xdr:col>8</xdr:col>
      <xdr:colOff>142200</xdr:colOff>
      <xdr:row>60</xdr:row>
      <xdr:rowOff>151560</xdr:rowOff>
    </xdr:to>
    <xdr:pic>
      <xdr:nvPicPr>
        <xdr:cNvPr id="99" name="Image 2" descr=""/>
        <xdr:cNvPicPr/>
      </xdr:nvPicPr>
      <xdr:blipFill>
        <a:blip r:embed="rId2"/>
        <a:stretch/>
      </xdr:blipFill>
      <xdr:spPr>
        <a:xfrm>
          <a:off x="493920" y="8638920"/>
          <a:ext cx="5549400" cy="3580920"/>
        </a:xfrm>
        <a:prstGeom prst="rect">
          <a:avLst/>
        </a:prstGeom>
        <a:ln w="0">
          <a:noFill/>
        </a:ln>
      </xdr:spPr>
    </xdr:pic>
    <xdr:clientData/>
  </xdr:twoCellAnchor>
  <xdr:twoCellAnchor editAs="oneCell">
    <xdr:from>
      <xdr:col>1</xdr:col>
      <xdr:colOff>343080</xdr:colOff>
      <xdr:row>61</xdr:row>
      <xdr:rowOff>57240</xdr:rowOff>
    </xdr:from>
    <xdr:to>
      <xdr:col>8</xdr:col>
      <xdr:colOff>113760</xdr:colOff>
      <xdr:row>71</xdr:row>
      <xdr:rowOff>171000</xdr:rowOff>
    </xdr:to>
    <xdr:pic>
      <xdr:nvPicPr>
        <xdr:cNvPr id="100" name="Image 3" descr=""/>
        <xdr:cNvPicPr/>
      </xdr:nvPicPr>
      <xdr:blipFill>
        <a:blip r:embed="rId3"/>
        <a:stretch/>
      </xdr:blipFill>
      <xdr:spPr>
        <a:xfrm>
          <a:off x="465480" y="12325320"/>
          <a:ext cx="5549400" cy="2114280"/>
        </a:xfrm>
        <a:prstGeom prst="rect">
          <a:avLst/>
        </a:prstGeom>
        <a:ln w="0">
          <a:noFill/>
        </a:ln>
      </xdr:spPr>
    </xdr:pic>
    <xdr:clientData/>
  </xdr:twoCellAnchor>
  <xdr:twoCellAnchor editAs="oneCell">
    <xdr:from>
      <xdr:col>1</xdr:col>
      <xdr:colOff>371520</xdr:colOff>
      <xdr:row>71</xdr:row>
      <xdr:rowOff>181080</xdr:rowOff>
    </xdr:from>
    <xdr:to>
      <xdr:col>8</xdr:col>
      <xdr:colOff>142200</xdr:colOff>
      <xdr:row>79</xdr:row>
      <xdr:rowOff>28080</xdr:rowOff>
    </xdr:to>
    <xdr:pic>
      <xdr:nvPicPr>
        <xdr:cNvPr id="101" name="Image 4" descr=""/>
        <xdr:cNvPicPr/>
      </xdr:nvPicPr>
      <xdr:blipFill>
        <a:blip r:embed="rId4"/>
        <a:stretch/>
      </xdr:blipFill>
      <xdr:spPr>
        <a:xfrm>
          <a:off x="493920" y="14449680"/>
          <a:ext cx="5549400" cy="1447200"/>
        </a:xfrm>
        <a:prstGeom prst="rect">
          <a:avLst/>
        </a:prstGeom>
        <a:ln w="0">
          <a:noFill/>
        </a:ln>
      </xdr:spPr>
    </xdr:pic>
    <xdr:clientData/>
  </xdr:twoCellAnchor>
  <xdr:twoCellAnchor editAs="oneCell">
    <xdr:from>
      <xdr:col>1</xdr:col>
      <xdr:colOff>343080</xdr:colOff>
      <xdr:row>79</xdr:row>
      <xdr:rowOff>142920</xdr:rowOff>
    </xdr:from>
    <xdr:to>
      <xdr:col>8</xdr:col>
      <xdr:colOff>113760</xdr:colOff>
      <xdr:row>99</xdr:row>
      <xdr:rowOff>9000</xdr:rowOff>
    </xdr:to>
    <xdr:pic>
      <xdr:nvPicPr>
        <xdr:cNvPr id="102" name="Image 5" descr=""/>
        <xdr:cNvPicPr/>
      </xdr:nvPicPr>
      <xdr:blipFill>
        <a:blip r:embed="rId5"/>
        <a:stretch/>
      </xdr:blipFill>
      <xdr:spPr>
        <a:xfrm>
          <a:off x="465480" y="16011720"/>
          <a:ext cx="5549400" cy="3866400"/>
        </a:xfrm>
        <a:prstGeom prst="rect">
          <a:avLst/>
        </a:prstGeom>
        <a:ln w="0">
          <a:noFill/>
        </a:ln>
      </xdr:spPr>
    </xdr:pic>
    <xdr:clientData/>
  </xdr:twoCellAnchor>
  <xdr:twoCellAnchor editAs="oneCell">
    <xdr:from>
      <xdr:col>1</xdr:col>
      <xdr:colOff>209520</xdr:colOff>
      <xdr:row>11</xdr:row>
      <xdr:rowOff>181080</xdr:rowOff>
    </xdr:from>
    <xdr:to>
      <xdr:col>7</xdr:col>
      <xdr:colOff>666000</xdr:colOff>
      <xdr:row>23</xdr:row>
      <xdr:rowOff>28080</xdr:rowOff>
    </xdr:to>
    <xdr:pic>
      <xdr:nvPicPr>
        <xdr:cNvPr id="103" name="Image 6" descr=""/>
        <xdr:cNvPicPr/>
      </xdr:nvPicPr>
      <xdr:blipFill>
        <a:blip r:embed="rId6"/>
        <a:stretch/>
      </xdr:blipFill>
      <xdr:spPr>
        <a:xfrm>
          <a:off x="331920" y="2448000"/>
          <a:ext cx="5409720" cy="2247480"/>
        </a:xfrm>
        <a:prstGeom prst="rect">
          <a:avLst/>
        </a:prstGeom>
        <a:ln w="0">
          <a:noFill/>
        </a:ln>
      </xdr:spPr>
    </xdr:pic>
    <xdr:clientData/>
  </xdr:twoCellAnchor>
  <xdr:twoCellAnchor editAs="oneCell">
    <xdr:from>
      <xdr:col>1</xdr:col>
      <xdr:colOff>237960</xdr:colOff>
      <xdr:row>100</xdr:row>
      <xdr:rowOff>28440</xdr:rowOff>
    </xdr:from>
    <xdr:to>
      <xdr:col>8</xdr:col>
      <xdr:colOff>8640</xdr:colOff>
      <xdr:row>109</xdr:row>
      <xdr:rowOff>151560</xdr:rowOff>
    </xdr:to>
    <xdr:pic>
      <xdr:nvPicPr>
        <xdr:cNvPr id="104" name="Image 7" descr=""/>
        <xdr:cNvPicPr/>
      </xdr:nvPicPr>
      <xdr:blipFill>
        <a:blip r:embed="rId7"/>
        <a:stretch/>
      </xdr:blipFill>
      <xdr:spPr>
        <a:xfrm>
          <a:off x="360360" y="20097720"/>
          <a:ext cx="5549400" cy="1923120"/>
        </a:xfrm>
        <a:prstGeom prst="rect">
          <a:avLst/>
        </a:prstGeom>
        <a:ln w="0">
          <a:noFill/>
        </a:ln>
      </xdr:spPr>
    </xdr:pic>
    <xdr:clientData/>
  </xdr:twoCellAnchor>
</xdr:wsDr>
</file>

<file path=xl/drawings/drawing2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104760</xdr:colOff>
      <xdr:row>26</xdr:row>
      <xdr:rowOff>152280</xdr:rowOff>
    </xdr:from>
    <xdr:to>
      <xdr:col>5</xdr:col>
      <xdr:colOff>608760</xdr:colOff>
      <xdr:row>31</xdr:row>
      <xdr:rowOff>104040</xdr:rowOff>
    </xdr:to>
    <xdr:pic>
      <xdr:nvPicPr>
        <xdr:cNvPr id="105" name="Image 1" descr=""/>
        <xdr:cNvPicPr/>
      </xdr:nvPicPr>
      <xdr:blipFill>
        <a:blip r:embed="rId1"/>
        <a:stretch/>
      </xdr:blipFill>
      <xdr:spPr>
        <a:xfrm>
          <a:off x="227160" y="6705360"/>
          <a:ext cx="5264640" cy="951840"/>
        </a:xfrm>
        <a:prstGeom prst="rect">
          <a:avLst/>
        </a:prstGeom>
        <a:ln w="0">
          <a:noFill/>
        </a:ln>
      </xdr:spPr>
    </xdr:pic>
    <xdr:clientData/>
  </xdr:twoCellAnchor>
  <xdr:twoCellAnchor editAs="oneCell">
    <xdr:from>
      <xdr:col>1</xdr:col>
      <xdr:colOff>628560</xdr:colOff>
      <xdr:row>9</xdr:row>
      <xdr:rowOff>123840</xdr:rowOff>
    </xdr:from>
    <xdr:to>
      <xdr:col>4</xdr:col>
      <xdr:colOff>618480</xdr:colOff>
      <xdr:row>20</xdr:row>
      <xdr:rowOff>970920</xdr:rowOff>
    </xdr:to>
    <xdr:pic>
      <xdr:nvPicPr>
        <xdr:cNvPr id="106" name="Image 2" descr=""/>
        <xdr:cNvPicPr/>
      </xdr:nvPicPr>
      <xdr:blipFill>
        <a:blip r:embed="rId2"/>
        <a:stretch/>
      </xdr:blipFill>
      <xdr:spPr>
        <a:xfrm>
          <a:off x="750960" y="2390760"/>
          <a:ext cx="3925080" cy="3085560"/>
        </a:xfrm>
        <a:prstGeom prst="rect">
          <a:avLst/>
        </a:prstGeom>
        <a:ln w="0">
          <a:noFill/>
        </a:ln>
      </xdr:spPr>
    </xdr:pic>
    <xdr:clientData/>
  </xdr:twoCellAnchor>
  <xdr:twoCellAnchor editAs="oneCell">
    <xdr:from>
      <xdr:col>21</xdr:col>
      <xdr:colOff>152280</xdr:colOff>
      <xdr:row>30</xdr:row>
      <xdr:rowOff>181080</xdr:rowOff>
    </xdr:from>
    <xdr:to>
      <xdr:col>27</xdr:col>
      <xdr:colOff>608760</xdr:colOff>
      <xdr:row>37</xdr:row>
      <xdr:rowOff>28080</xdr:rowOff>
    </xdr:to>
    <xdr:pic>
      <xdr:nvPicPr>
        <xdr:cNvPr id="107" name="Image 3" descr=""/>
        <xdr:cNvPicPr/>
      </xdr:nvPicPr>
      <xdr:blipFill>
        <a:blip r:embed="rId3"/>
        <a:stretch/>
      </xdr:blipFill>
      <xdr:spPr>
        <a:xfrm>
          <a:off x="27511920" y="7534440"/>
          <a:ext cx="5409360" cy="1247040"/>
        </a:xfrm>
        <a:prstGeom prst="rect">
          <a:avLst/>
        </a:prstGeom>
        <a:ln w="0">
          <a:noFill/>
        </a:ln>
      </xdr:spPr>
    </xdr:pic>
    <xdr:clientData/>
  </xdr:twoCellAnchor>
  <xdr:twoCellAnchor editAs="oneCell">
    <xdr:from>
      <xdr:col>21</xdr:col>
      <xdr:colOff>142920</xdr:colOff>
      <xdr:row>14</xdr:row>
      <xdr:rowOff>142920</xdr:rowOff>
    </xdr:from>
    <xdr:to>
      <xdr:col>27</xdr:col>
      <xdr:colOff>599400</xdr:colOff>
      <xdr:row>26</xdr:row>
      <xdr:rowOff>142200</xdr:rowOff>
    </xdr:to>
    <xdr:pic>
      <xdr:nvPicPr>
        <xdr:cNvPr id="108" name="Image 4" descr=""/>
        <xdr:cNvPicPr/>
      </xdr:nvPicPr>
      <xdr:blipFill>
        <a:blip r:embed="rId4"/>
        <a:stretch/>
      </xdr:blipFill>
      <xdr:spPr>
        <a:xfrm>
          <a:off x="27502560" y="3448080"/>
          <a:ext cx="5409360" cy="3247200"/>
        </a:xfrm>
        <a:prstGeom prst="rect">
          <a:avLst/>
        </a:prstGeom>
        <a:ln w="0">
          <a:noFill/>
        </a:ln>
      </xdr:spPr>
    </xdr:pic>
    <xdr:clientData/>
  </xdr:twoCellAnchor>
  <xdr:twoCellAnchor editAs="oneCell">
    <xdr:from>
      <xdr:col>21</xdr:col>
      <xdr:colOff>285840</xdr:colOff>
      <xdr:row>37</xdr:row>
      <xdr:rowOff>190440</xdr:rowOff>
    </xdr:from>
    <xdr:to>
      <xdr:col>26</xdr:col>
      <xdr:colOff>523080</xdr:colOff>
      <xdr:row>46</xdr:row>
      <xdr:rowOff>8640</xdr:rowOff>
    </xdr:to>
    <xdr:pic>
      <xdr:nvPicPr>
        <xdr:cNvPr id="109" name="Image 5" descr=""/>
        <xdr:cNvPicPr/>
      </xdr:nvPicPr>
      <xdr:blipFill>
        <a:blip r:embed="rId5"/>
        <a:stretch/>
      </xdr:blipFill>
      <xdr:spPr>
        <a:xfrm>
          <a:off x="27645480" y="8943840"/>
          <a:ext cx="4364640" cy="1618560"/>
        </a:xfrm>
        <a:prstGeom prst="rect">
          <a:avLst/>
        </a:prstGeom>
        <a:ln w="0">
          <a:noFill/>
        </a:ln>
      </xdr:spPr>
    </xdr:pic>
    <xdr:clientData/>
  </xdr:twoCellAnchor>
  <xdr:twoCellAnchor editAs="oneCell">
    <xdr:from>
      <xdr:col>29</xdr:col>
      <xdr:colOff>285840</xdr:colOff>
      <xdr:row>7</xdr:row>
      <xdr:rowOff>95400</xdr:rowOff>
    </xdr:from>
    <xdr:to>
      <xdr:col>39</xdr:col>
      <xdr:colOff>75600</xdr:colOff>
      <xdr:row>19</xdr:row>
      <xdr:rowOff>56520</xdr:rowOff>
    </xdr:to>
    <xdr:pic>
      <xdr:nvPicPr>
        <xdr:cNvPr id="110" name="Image 6" descr=""/>
        <xdr:cNvPicPr/>
      </xdr:nvPicPr>
      <xdr:blipFill>
        <a:blip r:embed="rId6"/>
        <a:stretch/>
      </xdr:blipFill>
      <xdr:spPr>
        <a:xfrm>
          <a:off x="33546600" y="1962360"/>
          <a:ext cx="8361360" cy="2399400"/>
        </a:xfrm>
        <a:prstGeom prst="rect">
          <a:avLst/>
        </a:prstGeom>
        <a:ln w="0">
          <a:noFill/>
        </a:ln>
      </xdr:spPr>
    </xdr:pic>
    <xdr:clientData/>
  </xdr:twoCellAnchor>
  <xdr:twoCellAnchor editAs="oneCell">
    <xdr:from>
      <xdr:col>6</xdr:col>
      <xdr:colOff>647640</xdr:colOff>
      <xdr:row>20</xdr:row>
      <xdr:rowOff>0</xdr:rowOff>
    </xdr:from>
    <xdr:to>
      <xdr:col>8</xdr:col>
      <xdr:colOff>437400</xdr:colOff>
      <xdr:row>28</xdr:row>
      <xdr:rowOff>8640</xdr:rowOff>
    </xdr:to>
    <xdr:pic>
      <xdr:nvPicPr>
        <xdr:cNvPr id="111" name="Image 7" descr=""/>
        <xdr:cNvPicPr/>
      </xdr:nvPicPr>
      <xdr:blipFill>
        <a:blip r:embed="rId7"/>
        <a:stretch/>
      </xdr:blipFill>
      <xdr:spPr>
        <a:xfrm>
          <a:off x="6867360" y="4505400"/>
          <a:ext cx="4309920" cy="2456640"/>
        </a:xfrm>
        <a:prstGeom prst="rect">
          <a:avLst/>
        </a:prstGeom>
        <a:ln w="0">
          <a:noFill/>
        </a:ln>
      </xdr:spPr>
    </xdr:pic>
    <xdr:clientData/>
  </xdr:twoCellAnchor>
  <xdr:twoCellAnchor editAs="oneCell">
    <xdr:from>
      <xdr:col>6</xdr:col>
      <xdr:colOff>523800</xdr:colOff>
      <xdr:row>16</xdr:row>
      <xdr:rowOff>0</xdr:rowOff>
    </xdr:from>
    <xdr:to>
      <xdr:col>8</xdr:col>
      <xdr:colOff>494640</xdr:colOff>
      <xdr:row>19</xdr:row>
      <xdr:rowOff>65880</xdr:rowOff>
    </xdr:to>
    <xdr:pic>
      <xdr:nvPicPr>
        <xdr:cNvPr id="112" name="Image 8" descr=""/>
        <xdr:cNvPicPr/>
      </xdr:nvPicPr>
      <xdr:blipFill>
        <a:blip r:embed="rId8"/>
        <a:stretch/>
      </xdr:blipFill>
      <xdr:spPr>
        <a:xfrm>
          <a:off x="6743520" y="3705120"/>
          <a:ext cx="4491000" cy="666000"/>
        </a:xfrm>
        <a:prstGeom prst="rect">
          <a:avLst/>
        </a:prstGeom>
        <a:ln w="0">
          <a:noFill/>
        </a:ln>
      </xdr:spPr>
    </xdr:pic>
    <xdr:clientData/>
  </xdr:twoCellAnchor>
  <xdr:twoCellAnchor editAs="oneCell">
    <xdr:from>
      <xdr:col>6</xdr:col>
      <xdr:colOff>609480</xdr:colOff>
      <xdr:row>29</xdr:row>
      <xdr:rowOff>171360</xdr:rowOff>
    </xdr:from>
    <xdr:to>
      <xdr:col>8</xdr:col>
      <xdr:colOff>523080</xdr:colOff>
      <xdr:row>35</xdr:row>
      <xdr:rowOff>132480</xdr:rowOff>
    </xdr:to>
    <xdr:pic>
      <xdr:nvPicPr>
        <xdr:cNvPr id="113" name="Image 9" descr=""/>
        <xdr:cNvPicPr/>
      </xdr:nvPicPr>
      <xdr:blipFill>
        <a:blip r:embed="rId9"/>
        <a:stretch/>
      </xdr:blipFill>
      <xdr:spPr>
        <a:xfrm>
          <a:off x="6829200" y="7324560"/>
          <a:ext cx="4433760" cy="1161360"/>
        </a:xfrm>
        <a:prstGeom prst="rect">
          <a:avLst/>
        </a:prstGeom>
        <a:ln w="0">
          <a:noFill/>
        </a:ln>
      </xdr:spPr>
    </xdr:pic>
    <xdr:clientData/>
  </xdr:twoCellAnchor>
</xdr:wsDr>
</file>

<file path=xl/drawings/drawing2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380880</xdr:colOff>
      <xdr:row>15</xdr:row>
      <xdr:rowOff>85680</xdr:rowOff>
    </xdr:from>
    <xdr:to>
      <xdr:col>6</xdr:col>
      <xdr:colOff>532440</xdr:colOff>
      <xdr:row>28</xdr:row>
      <xdr:rowOff>170640</xdr:rowOff>
    </xdr:to>
    <xdr:pic>
      <xdr:nvPicPr>
        <xdr:cNvPr id="114" name="Image 1" descr=""/>
        <xdr:cNvPicPr/>
      </xdr:nvPicPr>
      <xdr:blipFill>
        <a:blip r:embed="rId1"/>
        <a:stretch/>
      </xdr:blipFill>
      <xdr:spPr>
        <a:xfrm>
          <a:off x="503280" y="3552840"/>
          <a:ext cx="4279320" cy="2685240"/>
        </a:xfrm>
        <a:prstGeom prst="rect">
          <a:avLst/>
        </a:prstGeom>
        <a:ln w="0">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12</xdr:col>
      <xdr:colOff>200160</xdr:colOff>
      <xdr:row>3</xdr:row>
      <xdr:rowOff>0</xdr:rowOff>
    </xdr:from>
    <xdr:to>
      <xdr:col>16</xdr:col>
      <xdr:colOff>227880</xdr:colOff>
      <xdr:row>49</xdr:row>
      <xdr:rowOff>132480</xdr:rowOff>
    </xdr:to>
    <xdr:pic>
      <xdr:nvPicPr>
        <xdr:cNvPr id="1" name="Image 1" descr=""/>
        <xdr:cNvPicPr/>
      </xdr:nvPicPr>
      <xdr:blipFill>
        <a:blip r:embed="rId1"/>
        <a:stretch/>
      </xdr:blipFill>
      <xdr:spPr>
        <a:xfrm>
          <a:off x="15820560" y="600120"/>
          <a:ext cx="3329640" cy="9333720"/>
        </a:xfrm>
        <a:prstGeom prst="rect">
          <a:avLst/>
        </a:prstGeom>
        <a:ln w="0">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95400</xdr:colOff>
      <xdr:row>8</xdr:row>
      <xdr:rowOff>19080</xdr:rowOff>
    </xdr:from>
    <xdr:to>
      <xdr:col>7</xdr:col>
      <xdr:colOff>161280</xdr:colOff>
      <xdr:row>15</xdr:row>
      <xdr:rowOff>9000</xdr:rowOff>
    </xdr:to>
    <xdr:pic>
      <xdr:nvPicPr>
        <xdr:cNvPr id="2" name="Image 1" descr=""/>
        <xdr:cNvPicPr/>
      </xdr:nvPicPr>
      <xdr:blipFill>
        <a:blip r:embed="rId1"/>
        <a:stretch/>
      </xdr:blipFill>
      <xdr:spPr>
        <a:xfrm>
          <a:off x="217800" y="1685880"/>
          <a:ext cx="5554440" cy="1390320"/>
        </a:xfrm>
        <a:prstGeom prst="rect">
          <a:avLst/>
        </a:prstGeom>
        <a:ln w="0">
          <a:noFill/>
        </a:ln>
      </xdr:spPr>
    </xdr:pic>
    <xdr:clientData/>
  </xdr:twoCellAnchor>
  <xdr:twoCellAnchor editAs="oneCell">
    <xdr:from>
      <xdr:col>9</xdr:col>
      <xdr:colOff>123840</xdr:colOff>
      <xdr:row>8</xdr:row>
      <xdr:rowOff>114480</xdr:rowOff>
    </xdr:from>
    <xdr:to>
      <xdr:col>15</xdr:col>
      <xdr:colOff>323280</xdr:colOff>
      <xdr:row>14</xdr:row>
      <xdr:rowOff>75600</xdr:rowOff>
    </xdr:to>
    <xdr:pic>
      <xdr:nvPicPr>
        <xdr:cNvPr id="3" name="Image 2" descr=""/>
        <xdr:cNvPicPr/>
      </xdr:nvPicPr>
      <xdr:blipFill>
        <a:blip r:embed="rId2"/>
        <a:stretch/>
      </xdr:blipFill>
      <xdr:spPr>
        <a:xfrm>
          <a:off x="6682680" y="1781280"/>
          <a:ext cx="5529600" cy="1161360"/>
        </a:xfrm>
        <a:prstGeom prst="rect">
          <a:avLst/>
        </a:prstGeom>
        <a:ln w="0">
          <a:noFill/>
        </a:ln>
      </xdr:spPr>
    </xdr:pic>
    <xdr:clientData/>
  </xdr:twoCellAnchor>
  <xdr:twoCellAnchor editAs="oneCell">
    <xdr:from>
      <xdr:col>9</xdr:col>
      <xdr:colOff>123840</xdr:colOff>
      <xdr:row>15</xdr:row>
      <xdr:rowOff>152280</xdr:rowOff>
    </xdr:from>
    <xdr:to>
      <xdr:col>15</xdr:col>
      <xdr:colOff>323280</xdr:colOff>
      <xdr:row>22</xdr:row>
      <xdr:rowOff>56160</xdr:rowOff>
    </xdr:to>
    <xdr:pic>
      <xdr:nvPicPr>
        <xdr:cNvPr id="4" name="Image 3" descr=""/>
        <xdr:cNvPicPr/>
      </xdr:nvPicPr>
      <xdr:blipFill>
        <a:blip r:embed="rId3"/>
        <a:stretch/>
      </xdr:blipFill>
      <xdr:spPr>
        <a:xfrm>
          <a:off x="6682680" y="3219480"/>
          <a:ext cx="5529600" cy="1303920"/>
        </a:xfrm>
        <a:prstGeom prst="rect">
          <a:avLst/>
        </a:prstGeom>
        <a:ln w="0">
          <a:noFill/>
        </a:ln>
      </xdr:spPr>
    </xdr:pic>
    <xdr:clientData/>
  </xdr:twoCellAnchor>
  <xdr:twoCellAnchor editAs="oneCell">
    <xdr:from>
      <xdr:col>17</xdr:col>
      <xdr:colOff>66600</xdr:colOff>
      <xdr:row>7</xdr:row>
      <xdr:rowOff>181080</xdr:rowOff>
    </xdr:from>
    <xdr:to>
      <xdr:col>23</xdr:col>
      <xdr:colOff>208800</xdr:colOff>
      <xdr:row>14</xdr:row>
      <xdr:rowOff>37440</xdr:rowOff>
    </xdr:to>
    <xdr:pic>
      <xdr:nvPicPr>
        <xdr:cNvPr id="5" name="Image 4" descr=""/>
        <xdr:cNvPicPr/>
      </xdr:nvPicPr>
      <xdr:blipFill>
        <a:blip r:embed="rId4"/>
        <a:stretch/>
      </xdr:blipFill>
      <xdr:spPr>
        <a:xfrm>
          <a:off x="12903840" y="1648080"/>
          <a:ext cx="5545800" cy="1256400"/>
        </a:xfrm>
        <a:prstGeom prst="rect">
          <a:avLst/>
        </a:prstGeom>
        <a:ln w="0">
          <a:noFill/>
        </a:ln>
      </xdr:spPr>
    </xdr:pic>
    <xdr:clientData/>
  </xdr:twoCellAnchor>
  <xdr:twoCellAnchor editAs="oneCell">
    <xdr:from>
      <xdr:col>25</xdr:col>
      <xdr:colOff>133200</xdr:colOff>
      <xdr:row>5</xdr:row>
      <xdr:rowOff>133200</xdr:rowOff>
    </xdr:from>
    <xdr:to>
      <xdr:col>29</xdr:col>
      <xdr:colOff>618120</xdr:colOff>
      <xdr:row>14</xdr:row>
      <xdr:rowOff>46800</xdr:rowOff>
    </xdr:to>
    <xdr:pic>
      <xdr:nvPicPr>
        <xdr:cNvPr id="6" name="Image 6" descr=""/>
        <xdr:cNvPicPr/>
      </xdr:nvPicPr>
      <xdr:blipFill>
        <a:blip r:embed="rId5"/>
        <a:stretch/>
      </xdr:blipFill>
      <xdr:spPr>
        <a:xfrm>
          <a:off x="19322280" y="1199880"/>
          <a:ext cx="3786840" cy="1713960"/>
        </a:xfrm>
        <a:prstGeom prst="rect">
          <a:avLst/>
        </a:prstGeom>
        <a:ln w="0">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304920</xdr:colOff>
      <xdr:row>22</xdr:row>
      <xdr:rowOff>85680</xdr:rowOff>
    </xdr:from>
    <xdr:to>
      <xdr:col>1</xdr:col>
      <xdr:colOff>6019200</xdr:colOff>
      <xdr:row>50</xdr:row>
      <xdr:rowOff>132480</xdr:rowOff>
    </xdr:to>
    <xdr:pic>
      <xdr:nvPicPr>
        <xdr:cNvPr id="7" name="Image 1" descr=""/>
        <xdr:cNvPicPr/>
      </xdr:nvPicPr>
      <xdr:blipFill>
        <a:blip r:embed="rId1"/>
        <a:stretch/>
      </xdr:blipFill>
      <xdr:spPr>
        <a:xfrm>
          <a:off x="427320" y="5267160"/>
          <a:ext cx="5714280" cy="5647680"/>
        </a:xfrm>
        <a:prstGeom prst="rect">
          <a:avLst/>
        </a:prstGeom>
        <a:ln w="0">
          <a:noFill/>
        </a:ln>
      </xdr:spPr>
    </xdr:pic>
    <xdr:clientData/>
  </xdr:twoCellAnchor>
  <xdr:twoCellAnchor editAs="oneCell">
    <xdr:from>
      <xdr:col>1</xdr:col>
      <xdr:colOff>142920</xdr:colOff>
      <xdr:row>52</xdr:row>
      <xdr:rowOff>76320</xdr:rowOff>
    </xdr:from>
    <xdr:to>
      <xdr:col>5</xdr:col>
      <xdr:colOff>808920</xdr:colOff>
      <xdr:row>79</xdr:row>
      <xdr:rowOff>56520</xdr:rowOff>
    </xdr:to>
    <xdr:pic>
      <xdr:nvPicPr>
        <xdr:cNvPr id="8" name="Image 2" descr=""/>
        <xdr:cNvPicPr/>
      </xdr:nvPicPr>
      <xdr:blipFill>
        <a:blip r:embed="rId2"/>
        <a:stretch/>
      </xdr:blipFill>
      <xdr:spPr>
        <a:xfrm>
          <a:off x="265320" y="11258640"/>
          <a:ext cx="13157280" cy="5380920"/>
        </a:xfrm>
        <a:prstGeom prst="rect">
          <a:avLst/>
        </a:prstGeom>
        <a:ln w="0">
          <a:noFill/>
        </a:ln>
      </xdr:spPr>
    </xdr:pic>
    <xdr:clientData/>
  </xdr:twoCellAnchor>
  <xdr:twoCellAnchor editAs="oneCell">
    <xdr:from>
      <xdr:col>3</xdr:col>
      <xdr:colOff>237960</xdr:colOff>
      <xdr:row>22</xdr:row>
      <xdr:rowOff>66600</xdr:rowOff>
    </xdr:from>
    <xdr:to>
      <xdr:col>10</xdr:col>
      <xdr:colOff>475200</xdr:colOff>
      <xdr:row>47</xdr:row>
      <xdr:rowOff>46800</xdr:rowOff>
    </xdr:to>
    <xdr:pic>
      <xdr:nvPicPr>
        <xdr:cNvPr id="9" name="Image 3" descr=""/>
        <xdr:cNvPicPr/>
      </xdr:nvPicPr>
      <xdr:blipFill>
        <a:blip r:embed="rId3"/>
        <a:stretch/>
      </xdr:blipFill>
      <xdr:spPr>
        <a:xfrm>
          <a:off x="9813600" y="5248080"/>
          <a:ext cx="8777520" cy="4980960"/>
        </a:xfrm>
        <a:prstGeom prst="rect">
          <a:avLst/>
        </a:prstGeom>
        <a:ln w="0">
          <a:noFill/>
        </a:ln>
      </xdr:spPr>
    </xdr:pic>
    <xdr:clientData/>
  </xdr:twoCellAnchor>
  <xdr:twoCellAnchor editAs="oneCell">
    <xdr:from>
      <xdr:col>1</xdr:col>
      <xdr:colOff>933480</xdr:colOff>
      <xdr:row>81</xdr:row>
      <xdr:rowOff>66600</xdr:rowOff>
    </xdr:from>
    <xdr:to>
      <xdr:col>2</xdr:col>
      <xdr:colOff>1065960</xdr:colOff>
      <xdr:row>112</xdr:row>
      <xdr:rowOff>65880</xdr:rowOff>
    </xdr:to>
    <xdr:pic>
      <xdr:nvPicPr>
        <xdr:cNvPr id="10" name="Image 4" descr=""/>
        <xdr:cNvPicPr/>
      </xdr:nvPicPr>
      <xdr:blipFill>
        <a:blip r:embed="rId4"/>
        <a:stretch/>
      </xdr:blipFill>
      <xdr:spPr>
        <a:xfrm>
          <a:off x="1055880" y="17049600"/>
          <a:ext cx="8066880" cy="6200280"/>
        </a:xfrm>
        <a:prstGeom prst="rect">
          <a:avLst/>
        </a:prstGeom>
        <a:ln w="0">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449640</xdr:colOff>
      <xdr:row>15</xdr:row>
      <xdr:rowOff>142920</xdr:rowOff>
    </xdr:from>
    <xdr:to>
      <xdr:col>5</xdr:col>
      <xdr:colOff>551880</xdr:colOff>
      <xdr:row>18</xdr:row>
      <xdr:rowOff>132840</xdr:rowOff>
    </xdr:to>
    <xdr:pic>
      <xdr:nvPicPr>
        <xdr:cNvPr id="11" name="Image 1" descr=""/>
        <xdr:cNvPicPr/>
      </xdr:nvPicPr>
      <xdr:blipFill>
        <a:blip r:embed="rId1"/>
        <a:stretch/>
      </xdr:blipFill>
      <xdr:spPr>
        <a:xfrm>
          <a:off x="572040" y="3400560"/>
          <a:ext cx="5082120" cy="590040"/>
        </a:xfrm>
        <a:prstGeom prst="rect">
          <a:avLst/>
        </a:prstGeom>
        <a:ln w="0">
          <a:noFill/>
        </a:ln>
      </xdr:spPr>
    </xdr:pic>
    <xdr:clientData/>
  </xdr:twoCellAnchor>
  <xdr:twoCellAnchor editAs="oneCell">
    <xdr:from>
      <xdr:col>1</xdr:col>
      <xdr:colOff>420840</xdr:colOff>
      <xdr:row>26</xdr:row>
      <xdr:rowOff>9360</xdr:rowOff>
    </xdr:from>
    <xdr:to>
      <xdr:col>5</xdr:col>
      <xdr:colOff>218160</xdr:colOff>
      <xdr:row>41</xdr:row>
      <xdr:rowOff>8640</xdr:rowOff>
    </xdr:to>
    <xdr:pic>
      <xdr:nvPicPr>
        <xdr:cNvPr id="12" name="Image 3" descr=""/>
        <xdr:cNvPicPr/>
      </xdr:nvPicPr>
      <xdr:blipFill>
        <a:blip r:embed="rId2"/>
        <a:stretch/>
      </xdr:blipFill>
      <xdr:spPr>
        <a:xfrm>
          <a:off x="543240" y="5467320"/>
          <a:ext cx="4777200" cy="2999520"/>
        </a:xfrm>
        <a:prstGeom prst="rect">
          <a:avLst/>
        </a:prstGeom>
        <a:ln w="0">
          <a:noFill/>
        </a:ln>
      </xdr:spPr>
    </xdr:pic>
    <xdr:clientData/>
  </xdr:twoCellAnchor>
  <xdr:twoCellAnchor editAs="oneCell">
    <xdr:from>
      <xdr:col>1</xdr:col>
      <xdr:colOff>363600</xdr:colOff>
      <xdr:row>19</xdr:row>
      <xdr:rowOff>9360</xdr:rowOff>
    </xdr:from>
    <xdr:to>
      <xdr:col>5</xdr:col>
      <xdr:colOff>551520</xdr:colOff>
      <xdr:row>25</xdr:row>
      <xdr:rowOff>75240</xdr:rowOff>
    </xdr:to>
    <xdr:pic>
      <xdr:nvPicPr>
        <xdr:cNvPr id="13" name="Image 4" descr=""/>
        <xdr:cNvPicPr/>
      </xdr:nvPicPr>
      <xdr:blipFill>
        <a:blip r:embed="rId3"/>
        <a:stretch/>
      </xdr:blipFill>
      <xdr:spPr>
        <a:xfrm>
          <a:off x="486000" y="4066920"/>
          <a:ext cx="5167800" cy="1266120"/>
        </a:xfrm>
        <a:prstGeom prst="rect">
          <a:avLst/>
        </a:prstGeom>
        <a:ln w="0">
          <a:noFill/>
        </a:ln>
      </xdr:spPr>
    </xdr:pic>
    <xdr:clientData/>
  </xdr:twoCellAnchor>
  <xdr:twoCellAnchor editAs="oneCell">
    <xdr:from>
      <xdr:col>1</xdr:col>
      <xdr:colOff>535320</xdr:colOff>
      <xdr:row>41</xdr:row>
      <xdr:rowOff>142920</xdr:rowOff>
    </xdr:from>
    <xdr:to>
      <xdr:col>5</xdr:col>
      <xdr:colOff>551880</xdr:colOff>
      <xdr:row>54</xdr:row>
      <xdr:rowOff>142200</xdr:rowOff>
    </xdr:to>
    <xdr:pic>
      <xdr:nvPicPr>
        <xdr:cNvPr id="14" name="Image 5" descr=""/>
        <xdr:cNvPicPr/>
      </xdr:nvPicPr>
      <xdr:blipFill>
        <a:blip r:embed="rId4"/>
        <a:stretch/>
      </xdr:blipFill>
      <xdr:spPr>
        <a:xfrm>
          <a:off x="657720" y="8601120"/>
          <a:ext cx="4996440" cy="2599560"/>
        </a:xfrm>
        <a:prstGeom prst="rect">
          <a:avLst/>
        </a:prstGeom>
        <a:ln w="0">
          <a:noFill/>
        </a:ln>
      </xdr:spPr>
    </xdr:pic>
    <xdr:clientData/>
  </xdr:twoCellAnchor>
  <xdr:twoCellAnchor editAs="oneCell">
    <xdr:from>
      <xdr:col>1</xdr:col>
      <xdr:colOff>57240</xdr:colOff>
      <xdr:row>55</xdr:row>
      <xdr:rowOff>9360</xdr:rowOff>
    </xdr:from>
    <xdr:to>
      <xdr:col>5</xdr:col>
      <xdr:colOff>609120</xdr:colOff>
      <xdr:row>64</xdr:row>
      <xdr:rowOff>18000</xdr:rowOff>
    </xdr:to>
    <xdr:pic>
      <xdr:nvPicPr>
        <xdr:cNvPr id="15" name="Image 6" descr=""/>
        <xdr:cNvPicPr/>
      </xdr:nvPicPr>
      <xdr:blipFill>
        <a:blip r:embed="rId5"/>
        <a:stretch/>
      </xdr:blipFill>
      <xdr:spPr>
        <a:xfrm>
          <a:off x="179640" y="11268000"/>
          <a:ext cx="5531760" cy="1808640"/>
        </a:xfrm>
        <a:prstGeom prst="rect">
          <a:avLst/>
        </a:prstGeom>
        <a:ln w="0">
          <a:noFill/>
        </a:ln>
      </xdr:spPr>
    </xdr:pic>
    <xdr:clientData/>
  </xdr:twoCellAnchor>
  <xdr:twoCellAnchor editAs="oneCell">
    <xdr:from>
      <xdr:col>1</xdr:col>
      <xdr:colOff>142920</xdr:colOff>
      <xdr:row>65</xdr:row>
      <xdr:rowOff>9360</xdr:rowOff>
    </xdr:from>
    <xdr:to>
      <xdr:col>5</xdr:col>
      <xdr:colOff>694800</xdr:colOff>
      <xdr:row>70</xdr:row>
      <xdr:rowOff>104040</xdr:rowOff>
    </xdr:to>
    <xdr:pic>
      <xdr:nvPicPr>
        <xdr:cNvPr id="16" name="Image 7" descr=""/>
        <xdr:cNvPicPr/>
      </xdr:nvPicPr>
      <xdr:blipFill>
        <a:blip r:embed="rId6"/>
        <a:stretch/>
      </xdr:blipFill>
      <xdr:spPr>
        <a:xfrm>
          <a:off x="265320" y="13268160"/>
          <a:ext cx="5531760" cy="1094760"/>
        </a:xfrm>
        <a:prstGeom prst="rect">
          <a:avLst/>
        </a:prstGeom>
        <a:ln w="0">
          <a:noFill/>
        </a:ln>
      </xdr:spPr>
    </xdr:pic>
    <xdr:clientData/>
  </xdr:twoCellAnchor>
  <xdr:twoCellAnchor editAs="oneCell">
    <xdr:from>
      <xdr:col>1</xdr:col>
      <xdr:colOff>47520</xdr:colOff>
      <xdr:row>79</xdr:row>
      <xdr:rowOff>181080</xdr:rowOff>
    </xdr:from>
    <xdr:to>
      <xdr:col>5</xdr:col>
      <xdr:colOff>599400</xdr:colOff>
      <xdr:row>93</xdr:row>
      <xdr:rowOff>199080</xdr:rowOff>
    </xdr:to>
    <xdr:pic>
      <xdr:nvPicPr>
        <xdr:cNvPr id="17" name="Image 8" descr=""/>
        <xdr:cNvPicPr/>
      </xdr:nvPicPr>
      <xdr:blipFill>
        <a:blip r:embed="rId7"/>
        <a:stretch/>
      </xdr:blipFill>
      <xdr:spPr>
        <a:xfrm>
          <a:off x="169920" y="16240320"/>
          <a:ext cx="5531760" cy="2818440"/>
        </a:xfrm>
        <a:prstGeom prst="rect">
          <a:avLst/>
        </a:prstGeom>
        <a:ln w="0">
          <a:noFill/>
        </a:ln>
      </xdr:spPr>
    </xdr:pic>
    <xdr:clientData/>
  </xdr:twoCellAnchor>
  <xdr:twoCellAnchor editAs="oneCell">
    <xdr:from>
      <xdr:col>17</xdr:col>
      <xdr:colOff>200160</xdr:colOff>
      <xdr:row>16</xdr:row>
      <xdr:rowOff>104760</xdr:rowOff>
    </xdr:from>
    <xdr:to>
      <xdr:col>22</xdr:col>
      <xdr:colOff>389880</xdr:colOff>
      <xdr:row>24</xdr:row>
      <xdr:rowOff>18360</xdr:rowOff>
    </xdr:to>
    <xdr:pic>
      <xdr:nvPicPr>
        <xdr:cNvPr id="18" name="Image 9" descr=""/>
        <xdr:cNvPicPr/>
      </xdr:nvPicPr>
      <xdr:blipFill>
        <a:blip r:embed="rId8"/>
        <a:stretch/>
      </xdr:blipFill>
      <xdr:spPr>
        <a:xfrm>
          <a:off x="17981280" y="3562200"/>
          <a:ext cx="4317480" cy="1513800"/>
        </a:xfrm>
        <a:prstGeom prst="rect">
          <a:avLst/>
        </a:prstGeom>
        <a:ln w="0">
          <a:noFill/>
        </a:ln>
      </xdr:spPr>
    </xdr:pic>
    <xdr:clientData/>
  </xdr:twoCellAnchor>
  <xdr:twoCellAnchor editAs="oneCell">
    <xdr:from>
      <xdr:col>17</xdr:col>
      <xdr:colOff>200160</xdr:colOff>
      <xdr:row>25</xdr:row>
      <xdr:rowOff>114480</xdr:rowOff>
    </xdr:from>
    <xdr:to>
      <xdr:col>22</xdr:col>
      <xdr:colOff>351720</xdr:colOff>
      <xdr:row>31</xdr:row>
      <xdr:rowOff>37440</xdr:rowOff>
    </xdr:to>
    <xdr:pic>
      <xdr:nvPicPr>
        <xdr:cNvPr id="19" name="Image 10" descr=""/>
        <xdr:cNvPicPr/>
      </xdr:nvPicPr>
      <xdr:blipFill>
        <a:blip r:embed="rId9"/>
        <a:stretch/>
      </xdr:blipFill>
      <xdr:spPr>
        <a:xfrm>
          <a:off x="17981280" y="5372280"/>
          <a:ext cx="4279320" cy="1123200"/>
        </a:xfrm>
        <a:prstGeom prst="rect">
          <a:avLst/>
        </a:prstGeom>
        <a:ln w="0">
          <a:noFill/>
        </a:ln>
      </xdr:spPr>
    </xdr:pic>
    <xdr:clientData/>
  </xdr:twoCellAnchor>
  <xdr:twoCellAnchor editAs="oneCell">
    <xdr:from>
      <xdr:col>17</xdr:col>
      <xdr:colOff>314280</xdr:colOff>
      <xdr:row>7</xdr:row>
      <xdr:rowOff>114480</xdr:rowOff>
    </xdr:from>
    <xdr:to>
      <xdr:col>22</xdr:col>
      <xdr:colOff>332640</xdr:colOff>
      <xdr:row>16</xdr:row>
      <xdr:rowOff>37440</xdr:rowOff>
    </xdr:to>
    <xdr:pic>
      <xdr:nvPicPr>
        <xdr:cNvPr id="20" name="Image 11" descr=""/>
        <xdr:cNvPicPr/>
      </xdr:nvPicPr>
      <xdr:blipFill>
        <a:blip r:embed="rId10"/>
        <a:stretch/>
      </xdr:blipFill>
      <xdr:spPr>
        <a:xfrm>
          <a:off x="18095400" y="1771920"/>
          <a:ext cx="4146120" cy="1722960"/>
        </a:xfrm>
        <a:prstGeom prst="rect">
          <a:avLst/>
        </a:prstGeom>
        <a:ln w="0">
          <a:noFill/>
        </a:ln>
      </xdr:spPr>
    </xdr:pic>
    <xdr:clientData/>
  </xdr:twoCellAnchor>
  <xdr:twoCellAnchor editAs="oneCell">
    <xdr:from>
      <xdr:col>8</xdr:col>
      <xdr:colOff>171360</xdr:colOff>
      <xdr:row>15</xdr:row>
      <xdr:rowOff>38160</xdr:rowOff>
    </xdr:from>
    <xdr:to>
      <xdr:col>15</xdr:col>
      <xdr:colOff>332640</xdr:colOff>
      <xdr:row>25</xdr:row>
      <xdr:rowOff>56520</xdr:rowOff>
    </xdr:to>
    <xdr:pic>
      <xdr:nvPicPr>
        <xdr:cNvPr id="21" name="Image 12" descr=""/>
        <xdr:cNvPicPr/>
      </xdr:nvPicPr>
      <xdr:blipFill>
        <a:blip r:embed="rId11"/>
        <a:stretch/>
      </xdr:blipFill>
      <xdr:spPr>
        <a:xfrm>
          <a:off x="11226240" y="3295800"/>
          <a:ext cx="5939640" cy="2018520"/>
        </a:xfrm>
        <a:prstGeom prst="rect">
          <a:avLst/>
        </a:prstGeom>
        <a:ln w="0">
          <a:noFill/>
        </a:ln>
      </xdr:spPr>
    </xdr:pic>
    <xdr:clientData/>
  </xdr:twoCellAnchor>
  <xdr:twoCellAnchor editAs="oneCell">
    <xdr:from>
      <xdr:col>1</xdr:col>
      <xdr:colOff>85680</xdr:colOff>
      <xdr:row>71</xdr:row>
      <xdr:rowOff>47520</xdr:rowOff>
    </xdr:from>
    <xdr:to>
      <xdr:col>5</xdr:col>
      <xdr:colOff>637560</xdr:colOff>
      <xdr:row>79</xdr:row>
      <xdr:rowOff>37440</xdr:rowOff>
    </xdr:to>
    <xdr:pic>
      <xdr:nvPicPr>
        <xdr:cNvPr id="22" name="Image 13" descr=""/>
        <xdr:cNvPicPr/>
      </xdr:nvPicPr>
      <xdr:blipFill>
        <a:blip r:embed="rId12"/>
        <a:stretch/>
      </xdr:blipFill>
      <xdr:spPr>
        <a:xfrm>
          <a:off x="208080" y="14506560"/>
          <a:ext cx="5531760" cy="1590120"/>
        </a:xfrm>
        <a:prstGeom prst="rect">
          <a:avLst/>
        </a:prstGeom>
        <a:ln w="0">
          <a:noFill/>
        </a:ln>
      </xdr:spPr>
    </xdr:pic>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352440</xdr:colOff>
      <xdr:row>10</xdr:row>
      <xdr:rowOff>171360</xdr:rowOff>
    </xdr:from>
    <xdr:to>
      <xdr:col>5</xdr:col>
      <xdr:colOff>1208880</xdr:colOff>
      <xdr:row>20</xdr:row>
      <xdr:rowOff>180000</xdr:rowOff>
    </xdr:to>
    <xdr:pic>
      <xdr:nvPicPr>
        <xdr:cNvPr id="23" name="Image 1" descr=""/>
        <xdr:cNvPicPr/>
      </xdr:nvPicPr>
      <xdr:blipFill>
        <a:blip r:embed="rId1"/>
        <a:stretch/>
      </xdr:blipFill>
      <xdr:spPr>
        <a:xfrm>
          <a:off x="474840" y="3124080"/>
          <a:ext cx="8607960" cy="2008800"/>
        </a:xfrm>
        <a:prstGeom prst="rect">
          <a:avLst/>
        </a:prstGeom>
        <a:ln w="0">
          <a:noFill/>
        </a:ln>
      </xdr:spPr>
    </xdr:pic>
    <xdr:clientData/>
  </xdr:twoCellAnchor>
  <xdr:twoCellAnchor editAs="oneCell">
    <xdr:from>
      <xdr:col>8</xdr:col>
      <xdr:colOff>514440</xdr:colOff>
      <xdr:row>12</xdr:row>
      <xdr:rowOff>104760</xdr:rowOff>
    </xdr:from>
    <xdr:to>
      <xdr:col>11</xdr:col>
      <xdr:colOff>580320</xdr:colOff>
      <xdr:row>32</xdr:row>
      <xdr:rowOff>46800</xdr:rowOff>
    </xdr:to>
    <xdr:pic>
      <xdr:nvPicPr>
        <xdr:cNvPr id="24" name="Image 2" descr=""/>
        <xdr:cNvPicPr/>
      </xdr:nvPicPr>
      <xdr:blipFill>
        <a:blip r:embed="rId2"/>
        <a:stretch/>
      </xdr:blipFill>
      <xdr:spPr>
        <a:xfrm>
          <a:off x="11085840" y="3457440"/>
          <a:ext cx="5812200" cy="3942720"/>
        </a:xfrm>
        <a:prstGeom prst="rect">
          <a:avLst/>
        </a:prstGeom>
        <a:ln w="0">
          <a:noFill/>
        </a:ln>
      </xdr:spPr>
    </xdr:pic>
    <xdr:clientData/>
  </xdr:twoCellAnchor>
  <xdr:twoCellAnchor editAs="oneCell">
    <xdr:from>
      <xdr:col>1</xdr:col>
      <xdr:colOff>1590840</xdr:colOff>
      <xdr:row>22</xdr:row>
      <xdr:rowOff>57240</xdr:rowOff>
    </xdr:from>
    <xdr:to>
      <xdr:col>5</xdr:col>
      <xdr:colOff>85320</xdr:colOff>
      <xdr:row>36</xdr:row>
      <xdr:rowOff>56520</xdr:rowOff>
    </xdr:to>
    <xdr:pic>
      <xdr:nvPicPr>
        <xdr:cNvPr id="25" name="Image 3" descr=""/>
        <xdr:cNvPicPr/>
      </xdr:nvPicPr>
      <xdr:blipFill>
        <a:blip r:embed="rId3"/>
        <a:stretch/>
      </xdr:blipFill>
      <xdr:spPr>
        <a:xfrm>
          <a:off x="1713240" y="5410440"/>
          <a:ext cx="6246000" cy="2799360"/>
        </a:xfrm>
        <a:prstGeom prst="rect">
          <a:avLst/>
        </a:prstGeom>
        <a:ln w="0">
          <a:noFill/>
        </a:ln>
      </xdr:spPr>
    </xdr:pic>
    <xdr:clientData/>
  </xdr:twoCellAnchor>
  <xdr:twoCellAnchor editAs="oneCell">
    <xdr:from>
      <xdr:col>15</xdr:col>
      <xdr:colOff>552600</xdr:colOff>
      <xdr:row>11</xdr:row>
      <xdr:rowOff>123840</xdr:rowOff>
    </xdr:from>
    <xdr:to>
      <xdr:col>19</xdr:col>
      <xdr:colOff>1123560</xdr:colOff>
      <xdr:row>19</xdr:row>
      <xdr:rowOff>113760</xdr:rowOff>
    </xdr:to>
    <xdr:pic>
      <xdr:nvPicPr>
        <xdr:cNvPr id="26" name="Image 5" descr=""/>
        <xdr:cNvPicPr/>
      </xdr:nvPicPr>
      <xdr:blipFill>
        <a:blip r:embed="rId4"/>
        <a:stretch/>
      </xdr:blipFill>
      <xdr:spPr>
        <a:xfrm>
          <a:off x="20734200" y="3276720"/>
          <a:ext cx="8688240" cy="1590120"/>
        </a:xfrm>
        <a:prstGeom prst="rect">
          <a:avLst/>
        </a:prstGeom>
        <a:ln w="0">
          <a:noFill/>
        </a:ln>
      </xdr:spPr>
    </xdr:pic>
    <xdr:clientData/>
  </xdr:twoCellAnchor>
  <xdr:twoCellAnchor editAs="oneCell">
    <xdr:from>
      <xdr:col>15</xdr:col>
      <xdr:colOff>142920</xdr:colOff>
      <xdr:row>20</xdr:row>
      <xdr:rowOff>9360</xdr:rowOff>
    </xdr:from>
    <xdr:to>
      <xdr:col>19</xdr:col>
      <xdr:colOff>1332720</xdr:colOff>
      <xdr:row>32</xdr:row>
      <xdr:rowOff>170640</xdr:rowOff>
    </xdr:to>
    <xdr:pic>
      <xdr:nvPicPr>
        <xdr:cNvPr id="27" name="Image 6" descr=""/>
        <xdr:cNvPicPr/>
      </xdr:nvPicPr>
      <xdr:blipFill>
        <a:blip r:embed="rId5"/>
        <a:stretch/>
      </xdr:blipFill>
      <xdr:spPr>
        <a:xfrm>
          <a:off x="20324520" y="4962240"/>
          <a:ext cx="9307080" cy="2561760"/>
        </a:xfrm>
        <a:prstGeom prst="rect">
          <a:avLst/>
        </a:prstGeom>
        <a:ln w="0">
          <a:noFill/>
        </a:ln>
      </xdr:spPr>
    </xdr:pic>
    <xdr:clientData/>
  </xdr:twoCellAnchor>
  <xdr:twoCellAnchor editAs="oneCell">
    <xdr:from>
      <xdr:col>15</xdr:col>
      <xdr:colOff>733320</xdr:colOff>
      <xdr:row>37</xdr:row>
      <xdr:rowOff>47520</xdr:rowOff>
    </xdr:from>
    <xdr:to>
      <xdr:col>17</xdr:col>
      <xdr:colOff>1266120</xdr:colOff>
      <xdr:row>74</xdr:row>
      <xdr:rowOff>94320</xdr:rowOff>
    </xdr:to>
    <xdr:pic>
      <xdr:nvPicPr>
        <xdr:cNvPr id="28" name="Image 7" descr=""/>
        <xdr:cNvPicPr/>
      </xdr:nvPicPr>
      <xdr:blipFill>
        <a:blip r:embed="rId6"/>
        <a:stretch/>
      </xdr:blipFill>
      <xdr:spPr>
        <a:xfrm>
          <a:off x="20914920" y="8400960"/>
          <a:ext cx="5101560" cy="7447680"/>
        </a:xfrm>
        <a:prstGeom prst="rect">
          <a:avLst/>
        </a:prstGeom>
        <a:ln w="0">
          <a:noFill/>
        </a:ln>
      </xdr:spPr>
    </xdr:pic>
    <xdr:clientData/>
  </xdr:twoCellAnchor>
  <xdr:twoCellAnchor editAs="oneCell">
    <xdr:from>
      <xdr:col>18</xdr:col>
      <xdr:colOff>0</xdr:colOff>
      <xdr:row>37</xdr:row>
      <xdr:rowOff>85680</xdr:rowOff>
    </xdr:from>
    <xdr:to>
      <xdr:col>22</xdr:col>
      <xdr:colOff>580320</xdr:colOff>
      <xdr:row>51</xdr:row>
      <xdr:rowOff>142200</xdr:rowOff>
    </xdr:to>
    <xdr:pic>
      <xdr:nvPicPr>
        <xdr:cNvPr id="29" name="Image 8" descr=""/>
        <xdr:cNvPicPr/>
      </xdr:nvPicPr>
      <xdr:blipFill>
        <a:blip r:embed="rId7"/>
        <a:stretch/>
      </xdr:blipFill>
      <xdr:spPr>
        <a:xfrm>
          <a:off x="26524440" y="8439120"/>
          <a:ext cx="6728400" cy="2856960"/>
        </a:xfrm>
        <a:prstGeom prst="rect">
          <a:avLst/>
        </a:prstGeom>
        <a:ln w="0">
          <a:noFill/>
        </a:ln>
      </xdr:spPr>
    </xdr:pic>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420840</xdr:colOff>
      <xdr:row>14</xdr:row>
      <xdr:rowOff>181080</xdr:rowOff>
    </xdr:from>
    <xdr:to>
      <xdr:col>5</xdr:col>
      <xdr:colOff>351720</xdr:colOff>
      <xdr:row>37</xdr:row>
      <xdr:rowOff>151920</xdr:rowOff>
    </xdr:to>
    <xdr:pic>
      <xdr:nvPicPr>
        <xdr:cNvPr id="30" name="Image 1" descr=""/>
        <xdr:cNvPicPr/>
      </xdr:nvPicPr>
      <xdr:blipFill>
        <a:blip r:embed="rId1"/>
        <a:stretch/>
      </xdr:blipFill>
      <xdr:spPr>
        <a:xfrm>
          <a:off x="543240" y="3219480"/>
          <a:ext cx="4047120" cy="4571640"/>
        </a:xfrm>
        <a:prstGeom prst="rect">
          <a:avLst/>
        </a:prstGeom>
        <a:ln w="0">
          <a:noFill/>
        </a:ln>
      </xdr:spPr>
    </xdr:pic>
    <xdr:clientData/>
  </xdr:twoCellAnchor>
  <xdr:twoCellAnchor editAs="oneCell">
    <xdr:from>
      <xdr:col>6</xdr:col>
      <xdr:colOff>371520</xdr:colOff>
      <xdr:row>15</xdr:row>
      <xdr:rowOff>162000</xdr:rowOff>
    </xdr:from>
    <xdr:to>
      <xdr:col>13</xdr:col>
      <xdr:colOff>142200</xdr:colOff>
      <xdr:row>25</xdr:row>
      <xdr:rowOff>180360</xdr:rowOff>
    </xdr:to>
    <xdr:pic>
      <xdr:nvPicPr>
        <xdr:cNvPr id="31" name="Image 2" descr=""/>
        <xdr:cNvPicPr/>
      </xdr:nvPicPr>
      <xdr:blipFill>
        <a:blip r:embed="rId2"/>
        <a:stretch/>
      </xdr:blipFill>
      <xdr:spPr>
        <a:xfrm>
          <a:off x="5435640" y="3400560"/>
          <a:ext cx="5549040" cy="2018520"/>
        </a:xfrm>
        <a:prstGeom prst="rect">
          <a:avLst/>
        </a:prstGeom>
        <a:ln w="0">
          <a:noFill/>
        </a:ln>
      </xdr:spPr>
    </xdr:pic>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535320</xdr:colOff>
      <xdr:row>3</xdr:row>
      <xdr:rowOff>9360</xdr:rowOff>
    </xdr:from>
    <xdr:to>
      <xdr:col>7</xdr:col>
      <xdr:colOff>456480</xdr:colOff>
      <xdr:row>10</xdr:row>
      <xdr:rowOff>56160</xdr:rowOff>
    </xdr:to>
    <xdr:pic>
      <xdr:nvPicPr>
        <xdr:cNvPr id="32" name="Image 1" descr=""/>
        <xdr:cNvPicPr/>
      </xdr:nvPicPr>
      <xdr:blipFill>
        <a:blip r:embed="rId1"/>
        <a:stretch/>
      </xdr:blipFill>
      <xdr:spPr>
        <a:xfrm>
          <a:off x="657720" y="609480"/>
          <a:ext cx="4874400" cy="1446840"/>
        </a:xfrm>
        <a:prstGeom prst="rect">
          <a:avLst/>
        </a:prstGeom>
        <a:ln w="0">
          <a:noFill/>
        </a:ln>
      </xdr:spPr>
    </xdr:pic>
    <xdr:clientData/>
  </xdr:twoCellAnchor>
  <xdr:twoCellAnchor editAs="oneCell">
    <xdr:from>
      <xdr:col>1</xdr:col>
      <xdr:colOff>449640</xdr:colOff>
      <xdr:row>12</xdr:row>
      <xdr:rowOff>142920</xdr:rowOff>
    </xdr:from>
    <xdr:to>
      <xdr:col>7</xdr:col>
      <xdr:colOff>456840</xdr:colOff>
      <xdr:row>35</xdr:row>
      <xdr:rowOff>37440</xdr:rowOff>
    </xdr:to>
    <xdr:pic>
      <xdr:nvPicPr>
        <xdr:cNvPr id="33" name="Image 2" descr=""/>
        <xdr:cNvPicPr/>
      </xdr:nvPicPr>
      <xdr:blipFill>
        <a:blip r:embed="rId2"/>
        <a:stretch/>
      </xdr:blipFill>
      <xdr:spPr>
        <a:xfrm>
          <a:off x="572040" y="4057560"/>
          <a:ext cx="4960440" cy="4495320"/>
        </a:xfrm>
        <a:prstGeom prst="rect">
          <a:avLst/>
        </a:prstGeom>
        <a:ln w="0">
          <a:noFill/>
        </a:ln>
      </xdr:spPr>
    </xdr:pic>
    <xdr:clientData/>
  </xdr:twoCellAnchor>
</xdr:wsDr>
</file>

<file path=xl/worksheets/_rels/sheet11.xml.rels><?xml version="1.0" encoding="UTF-8"?>
<Relationships xmlns="http://schemas.openxmlformats.org/package/2006/relationships"><Relationship Id="rId1" Type="http://schemas.openxmlformats.org/officeDocument/2006/relationships/hyperlink" Target="https://www.eenewseurope.com/news/top-five-chip-makers-dominate-global-wafer-capacity" TargetMode="External"/><Relationship Id="rId2" Type="http://schemas.openxmlformats.org/officeDocument/2006/relationships/hyperlink" Target="https://www.semi.org/en/products-services/market-data/materials/si-shipment-statistics" TargetMode="External"/>
</Relationships>
</file>

<file path=xl/worksheets/_rels/sheet12.xml.rels><?xml version="1.0" encoding="UTF-8"?>
<Relationships xmlns="http://schemas.openxmlformats.org/package/2006/relationships"><Relationship Id="rId1" Type="http://schemas.openxmlformats.org/officeDocument/2006/relationships/hyperlink" Target="https://namu.wiki/w/Apple%20Silicon/A%20&#49884;&#47532;&#51592;?from=Apple%20A6" TargetMode="External"/><Relationship Id="rId2" Type="http://schemas.openxmlformats.org/officeDocument/2006/relationships/hyperlink" Target="https://en.wikipedia.org/wiki/Apple_silicon" TargetMode="External"/><Relationship Id="rId3" Type="http://schemas.openxmlformats.org/officeDocument/2006/relationships/drawing" Target="../drawings/drawing3.xml"/>
</Relationships>
</file>

<file path=xl/worksheets/_rels/sheet13.xml.rels><?xml version="1.0" encoding="UTF-8"?>
<Relationships xmlns="http://schemas.openxmlformats.org/package/2006/relationships"><Relationship Id="rId1" Type="http://schemas.openxmlformats.org/officeDocument/2006/relationships/hyperlink" Target="https://doi.org/10.1109/IGCC.2017.8323572" TargetMode="External"/><Relationship Id="rId2" Type="http://schemas.openxmlformats.org/officeDocument/2006/relationships/hyperlink" Target="http://hdl.handle.net/2429/47025" TargetMode="External"/><Relationship Id="rId3" Type="http://schemas.openxmlformats.org/officeDocument/2006/relationships/hyperlink" Target="https://doi.org/10.1109/IEDM13553.2020.9372004" TargetMode="External"/><Relationship Id="rId4" Type="http://schemas.openxmlformats.org/officeDocument/2006/relationships/hyperlink" Target="https://doi.org/10.3390/challe8020021" TargetMode="External"/><Relationship Id="rId5" Type="http://schemas.openxmlformats.org/officeDocument/2006/relationships/hyperlink" Target="https://doi.org/10.1007/s11367-011-0351-1" TargetMode="External"/><Relationship Id="rId6" Type="http://schemas.openxmlformats.org/officeDocument/2006/relationships/hyperlink" Target="https://doi.org/10.1007/978-1-4419-9988-7" TargetMode="External"/><Relationship Id="rId7" Type="http://schemas.openxmlformats.org/officeDocument/2006/relationships/hyperlink" Target="https://www.mpedram.com/Papers/lifecycle-inventory-analysis-finfet-issst14.pdf" TargetMode="External"/><Relationship Id="rId8" Type="http://schemas.openxmlformats.org/officeDocument/2006/relationships/hyperlink" Target="https://doi.org/10.1109/ISSCC.2012.6177104" TargetMode="External"/><Relationship Id="rId9" Type="http://schemas.openxmlformats.org/officeDocument/2006/relationships/hyperlink" Target="https://doi.org/10.1016/j.segan.2020.100408" TargetMode="External"/><Relationship Id="rId10" Type="http://schemas.openxmlformats.org/officeDocument/2006/relationships/hyperlink" Target="https://doi.org/10.1109/MCE.2015.2484639" TargetMode="External"/><Relationship Id="rId11" Type="http://schemas.openxmlformats.org/officeDocument/2006/relationships/hyperlink" Target="https://www.fairphone.com/wp-content/uploads/2016/11/Fairphone_2_LCA_Final_20161122.pdf" TargetMode="External"/><Relationship Id="rId12" Type="http://schemas.openxmlformats.org/officeDocument/2006/relationships/hyperlink" Target="https://www.fairphone.com/wp-content/uploads/2020/07/Fairphone_3_LCA.pdf" TargetMode="External"/><Relationship Id="rId13" Type="http://schemas.openxmlformats.org/officeDocument/2006/relationships/hyperlink" Target="https://doi.org/10.3390/challe5020409" TargetMode="External"/><Relationship Id="rId14" Type="http://schemas.openxmlformats.org/officeDocument/2006/relationships/hyperlink" Target="https://dx.doi.org/10.2991/ict4s-16.2016.15" TargetMode="External"/><Relationship Id="rId15" Type="http://schemas.openxmlformats.org/officeDocument/2006/relationships/hyperlink" Target="https://doi.org/10.1109/FTFC.2013.6577767" TargetMode="External"/><Relationship Id="rId16" Type="http://schemas.openxmlformats.org/officeDocument/2006/relationships/hyperlink" Target="https://doi.org/10.1109/ICCAD.2013.6691120" TargetMode="External"/><Relationship Id="rId17" Type="http://schemas.openxmlformats.org/officeDocument/2006/relationships/hyperlink" Target="https://www.umweltbundesamt.de/sites/default/files/medien/378/publikationen/texte_82_2013_janssen_informationstechnik_teil_c.pdf" TargetMode="External"/><Relationship Id="rId18" Type="http://schemas.openxmlformats.org/officeDocument/2006/relationships/hyperlink" Target="https://doi.org/10.1109/ISSST.2011.5936883" TargetMode="External"/><Relationship Id="rId19" Type="http://schemas.openxmlformats.org/officeDocument/2006/relationships/hyperlink" Target="https://doi.org/10.1007/978-1-4419-9988-7_7" TargetMode="External"/><Relationship Id="rId20" Type="http://schemas.openxmlformats.org/officeDocument/2006/relationships/hyperlink" Target="https://doi.org/10.1007/s11367-011-0260-3" TargetMode="External"/><Relationship Id="rId21" Type="http://schemas.openxmlformats.org/officeDocument/2006/relationships/hyperlink" Target="https://www.greenpeace.de/sites/default/files/publications/20161109_oeko_resource_efficency_final_full-report.pdf" TargetMode="External"/><Relationship Id="rId22" Type="http://schemas.openxmlformats.org/officeDocument/2006/relationships/hyperlink" Target="https://doi.org/10.1016/j.jclepro.2014.08.061" TargetMode="External"/><Relationship Id="rId23" Type="http://schemas.openxmlformats.org/officeDocument/2006/relationships/hyperlink" Target="https://doi.org/10.1109/ISSST.2012.6228013" TargetMode="External"/><Relationship Id="rId24" Type="http://schemas.openxmlformats.org/officeDocument/2006/relationships/hyperlink" Target="https://doi.org/10.3390/nano11051085" TargetMode="External"/><Relationship Id="rId25" Type="http://schemas.openxmlformats.org/officeDocument/2006/relationships/hyperlink" Target="https://doi.org/10.1016/j.jclepro.2020.124301" TargetMode="External"/><Relationship Id="rId26" Type="http://schemas.openxmlformats.org/officeDocument/2006/relationships/hyperlink" Target="https://doi.org/10.1007/s13762-015-0869-z" TargetMode="External"/><Relationship Id="rId27" Type="http://schemas.openxmlformats.org/officeDocument/2006/relationships/hyperlink" Target="https://doi.org/10.1016/j.eiar.2020.106416" TargetMode="External"/><Relationship Id="rId28" Type="http://schemas.openxmlformats.org/officeDocument/2006/relationships/hyperlink" Target="https://doi.org/10.1016/j.jclepro.2009.10.004" TargetMode="External"/><Relationship Id="rId29" Type="http://schemas.openxmlformats.org/officeDocument/2006/relationships/hyperlink" Target="https://doi.org/10.1021/es305325y" TargetMode="External"/><Relationship Id="rId30" Type="http://schemas.openxmlformats.org/officeDocument/2006/relationships/hyperlink" Target="https://doi.org/10.3390/en13225998" TargetMode="External"/><Relationship Id="rId31" Type="http://schemas.openxmlformats.org/officeDocument/2006/relationships/hyperlink" Target="https://doi.org/10.1109/ISSST.2010.5507719" TargetMode="External"/><Relationship Id="rId32" Type="http://schemas.openxmlformats.org/officeDocument/2006/relationships/hyperlink" Target="https://doi.org/10.1088/1748-9326/5/1/014011" TargetMode="External"/><Relationship Id="rId33" Type="http://schemas.openxmlformats.org/officeDocument/2006/relationships/hyperlink" Target="https://doi.org/10.1021/es303012r" TargetMode="External"/><Relationship Id="rId34" Type="http://schemas.openxmlformats.org/officeDocument/2006/relationships/hyperlink" Target="https://doi.org/10.1111/jiec.13119" TargetMode="External"/><Relationship Id="rId35" Type="http://schemas.openxmlformats.org/officeDocument/2006/relationships/hyperlink" Target="https://tel.archives-ouvertes.fr/tel-00957329" TargetMode="External"/><Relationship Id="rId36" Type="http://schemas.openxmlformats.org/officeDocument/2006/relationships/hyperlink" Target="https://doi.org/10.1016/j.jclepro.2018.07.273" TargetMode="External"/><Relationship Id="rId37" Type="http://schemas.openxmlformats.org/officeDocument/2006/relationships/hyperlink" Target="https://doi.org/10.1109/HPCA51647.2021.00076" TargetMode="External"/><Relationship Id="rId38" Type="http://schemas.openxmlformats.org/officeDocument/2006/relationships/hyperlink" Target="https://doi.org/10.3390/su11205664" TargetMode="External"/><Relationship Id="rId39" Type="http://schemas.openxmlformats.org/officeDocument/2006/relationships/hyperlink" Target="https://doi.org/10.1007/s11367-010-0206-1" TargetMode="External"/><Relationship Id="rId40" Type="http://schemas.openxmlformats.org/officeDocument/2006/relationships/hyperlink" Target="https://doi.org/10.23919/PanPacific48324.2020.9059483" TargetMode="External"/><Relationship Id="rId41" Type="http://schemas.openxmlformats.org/officeDocument/2006/relationships/hyperlink" Target="https://doi.org/10.1016/j.envsoft.2013.12.014" TargetMode="External"/><Relationship Id="rId42" Type="http://schemas.openxmlformats.org/officeDocument/2006/relationships/hyperlink" Target="https://doi.org/10.1016/j.envsoft.2014.01.001" TargetMode="External"/><Relationship Id="rId43" Type="http://schemas.openxmlformats.org/officeDocument/2006/relationships/hyperlink" Target="https://arxiv.org/abs/1403.2798" TargetMode="External"/><Relationship Id="rId44" Type="http://schemas.openxmlformats.org/officeDocument/2006/relationships/hyperlink" Target="https://doi.org/10.1016/j.compind.2013.10.003" TargetMode="External"/><Relationship Id="rId45" Type="http://schemas.openxmlformats.org/officeDocument/2006/relationships/hyperlink" Target="https://www.diva-portal.org/smash/record.jsf?pid=diva2%3A933594&amp;dswid=-2635" TargetMode="External"/><Relationship Id="rId46" Type="http://schemas.openxmlformats.org/officeDocument/2006/relationships/hyperlink" Target="https://doi.org/10.1007/978-3-319-09228-7_10" TargetMode="External"/><Relationship Id="rId47" Type="http://schemas.openxmlformats.org/officeDocument/2006/relationships/hyperlink" Target="https://doi.org/10.1111/jiec.12227" TargetMode="External"/><Relationship Id="rId48" Type="http://schemas.openxmlformats.org/officeDocument/2006/relationships/hyperlink" Target="https://doi.org/10.1021/es505121p" TargetMode="External"/><Relationship Id="rId49" Type="http://schemas.openxmlformats.org/officeDocument/2006/relationships/hyperlink" Target="https://doi.org/10.1111/jiec.13123" TargetMode="External"/><Relationship Id="rId50" Type="http://schemas.openxmlformats.org/officeDocument/2006/relationships/hyperlink" Target="https://doi.org/10.1109/ICIEA.2013.6566380" TargetMode="External"/><Relationship Id="rId51" Type="http://schemas.openxmlformats.org/officeDocument/2006/relationships/hyperlink" Target="https://op.europa.eu/s/vUnz" TargetMode="External"/><Relationship Id="rId52" Type="http://schemas.openxmlformats.org/officeDocument/2006/relationships/hyperlink" Target="https://doi.org/10.1038/nature10682" TargetMode="External"/><Relationship Id="rId53" Type="http://schemas.openxmlformats.org/officeDocument/2006/relationships/hyperlink" Target="https://doi.org/10.1109/TSM.2010.2087395" TargetMode="External"/><Relationship Id="rId54" Type="http://schemas.openxmlformats.org/officeDocument/2006/relationships/hyperlink" Target="https://doi.org/10.1146/annurev-environ-010710-100408" TargetMode="External"/><Relationship Id="rId55" Type="http://schemas.openxmlformats.org/officeDocument/2006/relationships/hyperlink" Target="https://doi.org/10.1109/TII.2014.2306771" TargetMode="External"/><Relationship Id="rId56" Type="http://schemas.openxmlformats.org/officeDocument/2006/relationships/hyperlink" Target="https://doi.org/10.1111/j.1530-9290.2011.00431.x" TargetMode="External"/><Relationship Id="rId57" Type="http://schemas.openxmlformats.org/officeDocument/2006/relationships/hyperlink" Target="https://doi.org/10.1109/IGCC.2016.7892605" TargetMode="External"/><Relationship Id="rId58" Type="http://schemas.openxmlformats.org/officeDocument/2006/relationships/hyperlink" Target="https://docplayer.net/8741483-Computing-the-carbon-footprint-supply-chain-for-the-semiconductor-industry-a-learning-tool.html" TargetMode="External"/><Relationship Id="rId59" Type="http://schemas.openxmlformats.org/officeDocument/2006/relationships/hyperlink" Target="https://www.diva-portal.org/smash/get/diva2:1540115/FULLTEXT01.pdf" TargetMode="External"/><Relationship Id="rId60" Type="http://schemas.openxmlformats.org/officeDocument/2006/relationships/hyperlink" Target="https://doi.org/10.1109/ISSST.2010.5507691" TargetMode="External"/><Relationship Id="rId61" Type="http://schemas.openxmlformats.org/officeDocument/2006/relationships/hyperlink" Target="https://doi.org/10.1021/es034434g" TargetMode="External"/><Relationship Id="rId62" Type="http://schemas.openxmlformats.org/officeDocument/2006/relationships/hyperlink" Target="https://doi.org/10.1021/es071174k" TargetMode="External"/><Relationship Id="rId63" Type="http://schemas.openxmlformats.org/officeDocument/2006/relationships/hyperlink" Target="http://hdl.handle.net/1721.1/46056" TargetMode="External"/><Relationship Id="rId64" Type="http://schemas.openxmlformats.org/officeDocument/2006/relationships/hyperlink" Target="https://doi.org/10.1109/ISEE.2008.4562888" TargetMode="External"/><Relationship Id="rId65" Type="http://schemas.openxmlformats.org/officeDocument/2006/relationships/hyperlink" Target="https://doi.org/10.1109/ISEE.2008.4562888" TargetMode="External"/><Relationship Id="rId66" Type="http://schemas.openxmlformats.org/officeDocument/2006/relationships/hyperlink" Target="https://citeseerx.ist.psu.edu/viewdoc/download?doi=10.1.1.118.6922&amp;rep=rep1&amp;type=pdf" TargetMode="External"/><Relationship Id="rId67" Type="http://schemas.openxmlformats.org/officeDocument/2006/relationships/hyperlink" Target="https://doi.org/10.1016/j.jclepro.2011.03.004" TargetMode="External"/><Relationship Id="rId68" Type="http://schemas.openxmlformats.org/officeDocument/2006/relationships/hyperlink" Target="https://doi.org/10.1021/es025643o" TargetMode="External"/><Relationship Id="rId69" Type="http://schemas.openxmlformats.org/officeDocument/2006/relationships/hyperlink" Target="https://doi.org/10.1016/S0360-5442(03)00008-2" TargetMode="External"/><Relationship Id="rId70" Type="http://schemas.openxmlformats.org/officeDocument/2006/relationships/hyperlink" Target="https://doi.org/10.1021/es903297k" TargetMode="External"/><Relationship Id="rId71" Type="http://schemas.openxmlformats.org/officeDocument/2006/relationships/hyperlink" Target="https://link.springer.com/book/10.1007/978-94-010-0033-8" TargetMode="External"/><Relationship Id="rId72" Type="http://schemas.openxmlformats.org/officeDocument/2006/relationships/hyperlink" Target="https://doi.org/10.1007/BF02978535" TargetMode="External"/><Relationship Id="rId73" Type="http://schemas.openxmlformats.org/officeDocument/2006/relationships/hyperlink" Target="https://doi.org/10.1109/ISEE.2008.4562886" TargetMode="External"/><Relationship Id="rId74" Type="http://schemas.openxmlformats.org/officeDocument/2006/relationships/hyperlink" Target="https://doi.org/10.1021/es035152j" TargetMode="External"/><Relationship Id="rId75" Type="http://schemas.openxmlformats.org/officeDocument/2006/relationships/hyperlink" Target="https://doi.org/10.1016/j.jenvman.2009.06.018" TargetMode="External"/><Relationship Id="rId76" Type="http://schemas.openxmlformats.org/officeDocument/2006/relationships/hyperlink" Target="https://doi.org/10.1109/ISEE.2004.1299693" TargetMode="External"/><Relationship Id="rId77" Type="http://schemas.openxmlformats.org/officeDocument/2006/relationships/hyperlink" Target="https://doi.org/10.1109/ISEE.2008.4562913" TargetMode="External"/><Relationship Id="rId78" Type="http://schemas.openxmlformats.org/officeDocument/2006/relationships/hyperlink" Target="https://doi.org/10.1007/978-94-010-0033-8_3" TargetMode="External"/><Relationship Id="rId79" Type="http://schemas.openxmlformats.org/officeDocument/2006/relationships/hyperlink" Target="https://doi.org/10.1109/ISEE.2004.1299692" TargetMode="External"/><Relationship Id="rId80" Type="http://schemas.openxmlformats.org/officeDocument/2006/relationships/hyperlink" Target="https://doi.org/10.1021/es902388b" TargetMode="External"/><Relationship Id="rId81" Type="http://schemas.openxmlformats.org/officeDocument/2006/relationships/hyperlink" Target="https://doi.org/10.1109/ISSST.2010.5507677" TargetMode="External"/><Relationship Id="rId82" Type="http://schemas.openxmlformats.org/officeDocument/2006/relationships/hyperlink" Target="https://doi.org/10.1016/j.tsf.2004.02.049" TargetMode="External"/><Relationship Id="rId83" Type="http://schemas.openxmlformats.org/officeDocument/2006/relationships/hyperlink" Target="https://doi.org/10.1109/ISEE.2006.1650071" TargetMode="External"/><Relationship Id="rId84" Type="http://schemas.openxmlformats.org/officeDocument/2006/relationships/hyperlink" Target="https://pubs.acs.org/doi/10.1021/es901514n" TargetMode="External"/><Relationship Id="rId85" Type="http://schemas.openxmlformats.org/officeDocument/2006/relationships/hyperlink" Target="http://www.lcacenter.org/InLCA2004/papers/Schischke_K_paper.pdf" TargetMode="External"/><Relationship Id="rId86" Type="http://schemas.openxmlformats.org/officeDocument/2006/relationships/hyperlink" Target="https://doi.org/10.1109/ISEE.2001.924517" TargetMode="External"/><Relationship Id="rId87" Type="http://schemas.openxmlformats.org/officeDocument/2006/relationships/hyperlink" Target="https://doi.org/10.1002/ep.670220414" TargetMode="External"/><Relationship Id="rId88" Type="http://schemas.openxmlformats.org/officeDocument/2006/relationships/hyperlink" Target="https://doi.org/10.1109/HPD.2004.1346690" TargetMode="External"/><Relationship Id="rId89" Type="http://schemas.openxmlformats.org/officeDocument/2006/relationships/hyperlink" Target="https://doi.org/10.1109/TSM.2004.835705" TargetMode="External"/><Relationship Id="rId90" Type="http://schemas.openxmlformats.org/officeDocument/2006/relationships/hyperlink" Target="https://doi.org/10.1109/TED.2006.884077" TargetMode="External"/><Relationship Id="rId91" Type="http://schemas.openxmlformats.org/officeDocument/2006/relationships/hyperlink" Target="https://doi.org/10.1109/66.53188" TargetMode="External"/><Relationship Id="rId92" Type="http://schemas.openxmlformats.org/officeDocument/2006/relationships/hyperlink" Target="https://doi.ieeecomputersociety.org/10.1109/MC.2009.209" TargetMode="External"/><Relationship Id="rId93" Type="http://schemas.openxmlformats.org/officeDocument/2006/relationships/hyperlink" Target="https://doi.org/10.1109/ISSST.2009.5156786" TargetMode="External"/><Relationship Id="rId94" Type="http://schemas.openxmlformats.org/officeDocument/2006/relationships/hyperlink" Target="https://doi.org/10.1109/ISEE.2004.1299707" TargetMode="External"/><Relationship Id="rId95" Type="http://schemas.openxmlformats.org/officeDocument/2006/relationships/hyperlink" Target="https://doi.org/10.1109/ISEE.2003.1208089" TargetMode="External"/>
</Relationships>
</file>

<file path=xl/worksheets/_rels/sheet14.xml.rels><?xml version="1.0" encoding="UTF-8"?>
<Relationships xmlns="http://schemas.openxmlformats.org/package/2006/relationships"><Relationship Id="rId1" Type="http://schemas.openxmlformats.org/officeDocument/2006/relationships/hyperlink" Target="https://doi.org/10.1109/MCE.2015.2484639" TargetMode="External"/><Relationship Id="rId2" Type="http://schemas.openxmlformats.org/officeDocument/2006/relationships/hyperlink" Target="https://doi.org/10.3390/challe5020409" TargetMode="External"/><Relationship Id="rId3" Type="http://schemas.openxmlformats.org/officeDocument/2006/relationships/hyperlink" Target="https://doi.org/10.3390/challe8020021" TargetMode="External"/><Relationship Id="rId4" Type="http://schemas.openxmlformats.org/officeDocument/2006/relationships/hyperlink" Target="https://doi.org/10.23919/PanPacific48324.2020.9059483" TargetMode="External"/><Relationship Id="rId5" Type="http://schemas.openxmlformats.org/officeDocument/2006/relationships/drawing" Target="../drawings/drawing4.xml"/>
</Relationships>
</file>

<file path=xl/worksheets/_rels/sheet15.xml.rels><?xml version="1.0" encoding="UTF-8"?>
<Relationships xmlns="http://schemas.openxmlformats.org/package/2006/relationships"><Relationship Id="rId1" Type="http://schemas.openxmlformats.org/officeDocument/2006/relationships/hyperlink" Target="https://doi.org/10.1109/IEDM13553.2020.9372004" TargetMode="External"/><Relationship Id="rId2" Type="http://schemas.openxmlformats.org/officeDocument/2006/relationships/drawing" Target="../drawings/drawing5.xml"/>
</Relationships>
</file>

<file path=xl/worksheets/_rels/sheet16.xml.rels><?xml version="1.0" encoding="UTF-8"?>
<Relationships xmlns="http://schemas.openxmlformats.org/package/2006/relationships"><Relationship Id="rId1" Type="http://schemas.openxmlformats.org/officeDocument/2006/relationships/hyperlink" Target="http://hdl.handle.net/1721.1/46056" TargetMode="External"/><Relationship Id="rId2" Type="http://schemas.openxmlformats.org/officeDocument/2006/relationships/hyperlink" Target="https://doi.org/10.1021/es902388b" TargetMode="External"/><Relationship Id="rId3" Type="http://schemas.openxmlformats.org/officeDocument/2006/relationships/drawing" Target="../drawings/drawing6.xml"/>
</Relationships>
</file>

<file path=xl/worksheets/_rels/sheet17.xml.rels><?xml version="1.0" encoding="UTF-8"?>
<Relationships xmlns="http://schemas.openxmlformats.org/package/2006/relationships"><Relationship Id="rId1" Type="http://schemas.openxmlformats.org/officeDocument/2006/relationships/hyperlink" Target="https://doi.org/10.1109/FTFC.2013.6577767" TargetMode="External"/><Relationship Id="rId2" Type="http://schemas.openxmlformats.org/officeDocument/2006/relationships/hyperlink" Target="https://doi.org/10.1109/FTFC.2013.6577767" TargetMode="External"/><Relationship Id="rId3" Type="http://schemas.openxmlformats.org/officeDocument/2006/relationships/hyperlink" Target="https://doi.org/10.1109/ISSST.2011.5936883" TargetMode="External"/><Relationship Id="rId4" Type="http://schemas.openxmlformats.org/officeDocument/2006/relationships/drawing" Target="../drawings/drawing7.xml"/>
</Relationships>
</file>

<file path=xl/worksheets/_rels/sheet18.xml.rels><?xml version="1.0" encoding="UTF-8"?>
<Relationships xmlns="http://schemas.openxmlformats.org/package/2006/relationships"><Relationship Id="rId1" Type="http://schemas.openxmlformats.org/officeDocument/2006/relationships/hyperlink" Target="https://link.springer.com/book/10.1007/978-1-4419-9988-7" TargetMode="External"/>
</Relationships>
</file>

<file path=xl/worksheets/_rels/sheet19.xml.rels><?xml version="1.0" encoding="UTF-8"?>
<Relationships xmlns="http://schemas.openxmlformats.org/package/2006/relationships"><Relationship Id="rId1" Type="http://schemas.openxmlformats.org/officeDocument/2006/relationships/hyperlink" Target="https://doi.org/10.1016/j.eiar.2020.106416" TargetMode="External"/><Relationship Id="rId2" Type="http://schemas.openxmlformats.org/officeDocument/2006/relationships/drawing" Target="../drawings/drawing8.xml"/>
</Relationships>
</file>

<file path=xl/worksheets/_rels/sheet2.xml.rels><?xml version="1.0" encoding="UTF-8"?>
<Relationships xmlns="http://schemas.openxmlformats.org/package/2006/relationships"><Relationship Id="rId1" Type="http://schemas.openxmlformats.org/officeDocument/2006/relationships/hyperlink" Target="https://www.fairphone.com/wp-content/uploads/2016/11/Fairphone_2_LCA_Final_20161122.pdf" TargetMode="External"/><Relationship Id="rId2" Type="http://schemas.openxmlformats.org/officeDocument/2006/relationships/hyperlink" Target="https://www.fairphone.com/wp-content/uploads/2020/07/Fairphone_3_LCA.pdf" TargetMode="External"/><Relationship Id="rId3" Type="http://schemas.openxmlformats.org/officeDocument/2006/relationships/hyperlink" Target="http://link.springer.com/10.1007/978-1-4419-9988-7" TargetMode="External"/><Relationship Id="rId4" Type="http://schemas.openxmlformats.org/officeDocument/2006/relationships/hyperlink" Target="http://link.springer.com/10.1007/978-1-4419-9988-7" TargetMode="External"/><Relationship Id="rId5" Type="http://schemas.openxmlformats.org/officeDocument/2006/relationships/hyperlink" Target="http://link.springer.com/10.1007/978-1-4419-9988-7" TargetMode="External"/><Relationship Id="rId6" Type="http://schemas.openxmlformats.org/officeDocument/2006/relationships/hyperlink" Target="http://link.springer.com/10.1007/978-1-4419-9988-7" TargetMode="External"/><Relationship Id="rId7" Type="http://schemas.openxmlformats.org/officeDocument/2006/relationships/hyperlink" Target="http://link.springer.com/10.1007/978-1-4419-9988-7" TargetMode="External"/><Relationship Id="rId8" Type="http://schemas.openxmlformats.org/officeDocument/2006/relationships/hyperlink" Target="http://link.springer.com/10.1007/978-1-4419-9988-7" TargetMode="External"/><Relationship Id="rId9" Type="http://schemas.openxmlformats.org/officeDocument/2006/relationships/hyperlink" Target="http://link.springer.com/10.1007/978-1-4419-9988-7" TargetMode="External"/><Relationship Id="rId10" Type="http://schemas.openxmlformats.org/officeDocument/2006/relationships/hyperlink" Target="http://link.springer.com/10.1007/978-1-4419-9988-7" TargetMode="External"/><Relationship Id="rId11" Type="http://schemas.openxmlformats.org/officeDocument/2006/relationships/hyperlink" Target="https://doi.org/10.1109/MCE.2015.2484639" TargetMode="External"/><Relationship Id="rId12" Type="http://schemas.openxmlformats.org/officeDocument/2006/relationships/hyperlink" Target="https://doi.org/10.3390/challe5020409" TargetMode="External"/><Relationship Id="rId13" Type="http://schemas.openxmlformats.org/officeDocument/2006/relationships/hyperlink" Target="https://doi.org/10.3390/challe8020021" TargetMode="External"/><Relationship Id="rId14" Type="http://schemas.openxmlformats.org/officeDocument/2006/relationships/hyperlink" Target="http://www.atlantis-press.com/php/paper-details.php?id=25860375" TargetMode="External"/><Relationship Id="rId15" Type="http://schemas.openxmlformats.org/officeDocument/2006/relationships/hyperlink" Target="http://www.atlantis-press.com/php/paper-details.php?id=25860375" TargetMode="External"/><Relationship Id="rId16" Type="http://schemas.openxmlformats.org/officeDocument/2006/relationships/hyperlink" Target="http://link.springer.com/10.1007/s11367-011-0351-1" TargetMode="External"/><Relationship Id="rId17" Type="http://schemas.openxmlformats.org/officeDocument/2006/relationships/hyperlink" Target="https://doi.org/10.1109/FTFC.2013.6577767" TargetMode="External"/><Relationship Id="rId18" Type="http://schemas.openxmlformats.org/officeDocument/2006/relationships/hyperlink" Target="https://doi.org/10.1109/FTFC.2013.6577767" TargetMode="External"/><Relationship Id="rId19" Type="http://schemas.openxmlformats.org/officeDocument/2006/relationships/hyperlink" Target="https://doi.org/10.1109/FTFC.2013.6577767" TargetMode="External"/><Relationship Id="rId20" Type="http://schemas.openxmlformats.org/officeDocument/2006/relationships/hyperlink" Target="http://ieeexplore.ieee.org/document/6691120/" TargetMode="External"/><Relationship Id="rId21" Type="http://schemas.openxmlformats.org/officeDocument/2006/relationships/hyperlink" Target="http://ieeexplore.ieee.org/document/6691120/" TargetMode="External"/><Relationship Id="rId22" Type="http://schemas.openxmlformats.org/officeDocument/2006/relationships/hyperlink" Target="http://ieeexplore.ieee.org/document/6691120/" TargetMode="External"/><Relationship Id="rId23" Type="http://schemas.openxmlformats.org/officeDocument/2006/relationships/hyperlink" Target="http://ieeexplore.ieee.org/document/6691120/" TargetMode="External"/><Relationship Id="rId24" Type="http://schemas.openxmlformats.org/officeDocument/2006/relationships/hyperlink" Target="http://ieeexplore.ieee.org/document/6691120/" TargetMode="External"/><Relationship Id="rId25" Type="http://schemas.openxmlformats.org/officeDocument/2006/relationships/hyperlink" Target="http://ieeexplore.ieee.org/document/6691120/" TargetMode="External"/><Relationship Id="rId26" Type="http://schemas.openxmlformats.org/officeDocument/2006/relationships/hyperlink" Target="http://ieeexplore.ieee.org/document/6691120/" TargetMode="External"/><Relationship Id="rId27" Type="http://schemas.openxmlformats.org/officeDocument/2006/relationships/hyperlink" Target="http://ieeexplore.ieee.org/document/6691120/" TargetMode="External"/><Relationship Id="rId28" Type="http://schemas.openxmlformats.org/officeDocument/2006/relationships/hyperlink" Target="http://ieeexplore.ieee.org/document/6691120/" TargetMode="External"/><Relationship Id="rId29" Type="http://schemas.openxmlformats.org/officeDocument/2006/relationships/hyperlink" Target="https://ieeexplore.ieee.org/document/9372004/" TargetMode="External"/><Relationship Id="rId30" Type="http://schemas.openxmlformats.org/officeDocument/2006/relationships/hyperlink" Target="https://ieeexplore.ieee.org/document/9372004/" TargetMode="External"/><Relationship Id="rId31" Type="http://schemas.openxmlformats.org/officeDocument/2006/relationships/hyperlink" Target="https://ieeexplore.ieee.org/document/9372004/" TargetMode="External"/><Relationship Id="rId32" Type="http://schemas.openxmlformats.org/officeDocument/2006/relationships/hyperlink" Target="https://ieeexplore.ieee.org/document/9372004/" TargetMode="External"/><Relationship Id="rId33" Type="http://schemas.openxmlformats.org/officeDocument/2006/relationships/hyperlink" Target="https://ieeexplore.ieee.org/document/9372004/" TargetMode="External"/><Relationship Id="rId34" Type="http://schemas.openxmlformats.org/officeDocument/2006/relationships/hyperlink" Target="https://ieeexplore.ieee.org/document/9372004/" TargetMode="External"/><Relationship Id="rId35" Type="http://schemas.openxmlformats.org/officeDocument/2006/relationships/hyperlink" Target="https://ieeexplore.ieee.org/document/9372004/" TargetMode="External"/><Relationship Id="rId36" Type="http://schemas.openxmlformats.org/officeDocument/2006/relationships/hyperlink" Target="https://ieeexplore.ieee.org/document/9372004/" TargetMode="External"/><Relationship Id="rId37" Type="http://schemas.openxmlformats.org/officeDocument/2006/relationships/hyperlink" Target="https://ieeexplore.ieee.org/document/9372004/" TargetMode="External"/><Relationship Id="rId38" Type="http://schemas.openxmlformats.org/officeDocument/2006/relationships/hyperlink" Target="https://doi.org/10.14288/1.0167496" TargetMode="External"/><Relationship Id="rId39" Type="http://schemas.openxmlformats.org/officeDocument/2006/relationships/hyperlink" Target="https://doi.org/10.14288/1.0167496" TargetMode="External"/><Relationship Id="rId40" Type="http://schemas.openxmlformats.org/officeDocument/2006/relationships/hyperlink" Target="https://doi.org/10.14288/1.0167496" TargetMode="External"/><Relationship Id="rId41" Type="http://schemas.openxmlformats.org/officeDocument/2006/relationships/hyperlink" Target="https://doi.org/10.14288/1.0167496" TargetMode="External"/><Relationship Id="rId42" Type="http://schemas.openxmlformats.org/officeDocument/2006/relationships/hyperlink" Target="https://doi.org/10.14288/1.0167496" TargetMode="External"/><Relationship Id="rId43" Type="http://schemas.openxmlformats.org/officeDocument/2006/relationships/hyperlink" Target="https://doi.org/10.14288/1.0167496" TargetMode="External"/><Relationship Id="rId44" Type="http://schemas.openxmlformats.org/officeDocument/2006/relationships/hyperlink" Target="https://doi.org/10.1109/IGCC.2017.8323572" TargetMode="External"/><Relationship Id="rId45" Type="http://schemas.openxmlformats.org/officeDocument/2006/relationships/hyperlink" Target="https://doi.org/10.1109/IGCC.2017.8323572" TargetMode="External"/><Relationship Id="rId46" Type="http://schemas.openxmlformats.org/officeDocument/2006/relationships/hyperlink" Target="https://doi.org/10.1109/IGCC.2017.8323572" TargetMode="External"/><Relationship Id="rId47" Type="http://schemas.openxmlformats.org/officeDocument/2006/relationships/hyperlink" Target="https://doi.org/10.1109/IGCC.2017.8323572" TargetMode="External"/><Relationship Id="rId48" Type="http://schemas.openxmlformats.org/officeDocument/2006/relationships/hyperlink" Target="https://doi.org/10.1109/IGCC.2017.8323572" TargetMode="External"/><Relationship Id="rId49" Type="http://schemas.openxmlformats.org/officeDocument/2006/relationships/hyperlink" Target="https://doi.org/10.1109/IGCC.2017.8323572" TargetMode="External"/><Relationship Id="rId50" Type="http://schemas.openxmlformats.org/officeDocument/2006/relationships/hyperlink" Target="https://doi.org/10.1109/IGCC.2017.8323572" TargetMode="External"/><Relationship Id="rId51" Type="http://schemas.openxmlformats.org/officeDocument/2006/relationships/hyperlink" Target="http://www.atlantis-press.com/php/paper-details.php?id=25860375" TargetMode="External"/><Relationship Id="rId52" Type="http://schemas.openxmlformats.org/officeDocument/2006/relationships/hyperlink" Target="http://link.springer.com/10.1007/s11367-011-0351-1" TargetMode="External"/><Relationship Id="rId53" Type="http://schemas.openxmlformats.org/officeDocument/2006/relationships/hyperlink" Target="https://citeseerx.ist.psu.edu/viewdoc/download?doi=10.1.1.118.6922&amp;rep=rep1&amp;type=pdf" TargetMode="External"/><Relationship Id="rId54" Type="http://schemas.openxmlformats.org/officeDocument/2006/relationships/hyperlink" Target="https://citeseerx.ist.psu.edu/viewdoc/download?doi=10.1.1.118.6922&amp;rep=rep1&amp;type=pdf" TargetMode="External"/><Relationship Id="rId55" Type="http://schemas.openxmlformats.org/officeDocument/2006/relationships/hyperlink" Target="https://citeseerx.ist.psu.edu/viewdoc/download?doi=10.1.1.118.6922&amp;rep=rep1&amp;type=pdf" TargetMode="External"/><Relationship Id="rId56" Type="http://schemas.openxmlformats.org/officeDocument/2006/relationships/hyperlink" Target="https://citeseerx.ist.psu.edu/viewdoc/download?doi=10.1.1.118.6922&amp;rep=rep1&amp;type=pdf" TargetMode="External"/><Relationship Id="rId57" Type="http://schemas.openxmlformats.org/officeDocument/2006/relationships/hyperlink" Target="https://citeseerx.ist.psu.edu/viewdoc/download?doi=10.1.1.118.6922&amp;rep=rep1&amp;type=pdf" TargetMode="External"/><Relationship Id="rId58" Type="http://schemas.openxmlformats.org/officeDocument/2006/relationships/hyperlink" Target="https://citeseerx.ist.psu.edu/viewdoc/download?doi=10.1.1.118.6922&amp;rep=rep1&amp;type=pdf" TargetMode="External"/><Relationship Id="rId59" Type="http://schemas.openxmlformats.org/officeDocument/2006/relationships/hyperlink" Target="https://citeseerx.ist.psu.edu/viewdoc/download?doi=10.1.1.118.6922&amp;rep=rep1&amp;type=pdf" TargetMode="External"/><Relationship Id="rId60" Type="http://schemas.openxmlformats.org/officeDocument/2006/relationships/hyperlink" Target="https://citeseerx.ist.psu.edu/viewdoc/download?doi=10.1.1.118.6922&amp;rep=rep1&amp;type=pdf" TargetMode="External"/><Relationship Id="rId61" Type="http://schemas.openxmlformats.org/officeDocument/2006/relationships/hyperlink" Target="https://citeseerx.ist.psu.edu/viewdoc/download?doi=10.1.1.118.6922&amp;rep=rep1&amp;type=pdf" TargetMode="External"/><Relationship Id="rId62" Type="http://schemas.openxmlformats.org/officeDocument/2006/relationships/hyperlink" Target="https://citeseerx.ist.psu.edu/viewdoc/download?doi=10.1.1.118.6922&amp;rep=rep1&amp;type=pdf" TargetMode="External"/><Relationship Id="rId63" Type="http://schemas.openxmlformats.org/officeDocument/2006/relationships/hyperlink" Target="https://citeseerx.ist.psu.edu/viewdoc/download?doi=10.1.1.118.6922&amp;rep=rep1&amp;type=pdf" TargetMode="External"/><Relationship Id="rId64" Type="http://schemas.openxmlformats.org/officeDocument/2006/relationships/hyperlink" Target="https://citeseerx.ist.psu.edu/viewdoc/download?doi=10.1.1.118.6922&amp;rep=rep1&amp;type=pdf" TargetMode="External"/><Relationship Id="rId65" Type="http://schemas.openxmlformats.org/officeDocument/2006/relationships/hyperlink" Target="https://citeseerx.ist.psu.edu/viewdoc/download?doi=10.1.1.118.6922&amp;rep=rep1&amp;type=pdf" TargetMode="External"/><Relationship Id="rId66" Type="http://schemas.openxmlformats.org/officeDocument/2006/relationships/hyperlink" Target="https://citeseerx.ist.psu.edu/viewdoc/download?doi=10.1.1.118.6922&amp;rep=rep1&amp;type=pdf" TargetMode="External"/><Relationship Id="rId67" Type="http://schemas.openxmlformats.org/officeDocument/2006/relationships/hyperlink" Target="https://citeseerx.ist.psu.edu/viewdoc/download?doi=10.1.1.118.6922&amp;rep=rep1&amp;type=pdf" TargetMode="External"/><Relationship Id="rId68" Type="http://schemas.openxmlformats.org/officeDocument/2006/relationships/hyperlink" Target="https://citeseerx.ist.psu.edu/viewdoc/download?doi=10.1.1.118.6922&amp;rep=rep1&amp;type=pdf" TargetMode="External"/><Relationship Id="rId69" Type="http://schemas.openxmlformats.org/officeDocument/2006/relationships/hyperlink" Target="https://citeseerx.ist.psu.edu/viewdoc/download?doi=10.1.1.118.6922&amp;rep=rep1&amp;type=pdf" TargetMode="External"/><Relationship Id="rId70" Type="http://schemas.openxmlformats.org/officeDocument/2006/relationships/hyperlink" Target="https://citeseerx.ist.psu.edu/viewdoc/download?doi=10.1.1.118.6922&amp;rep=rep1&amp;type=pdf" TargetMode="External"/><Relationship Id="rId71" Type="http://schemas.openxmlformats.org/officeDocument/2006/relationships/hyperlink" Target="https://citeseerx.ist.psu.edu/viewdoc/download?doi=10.1.1.118.6922&amp;rep=rep1&amp;type=pdf" TargetMode="External"/><Relationship Id="rId72" Type="http://schemas.openxmlformats.org/officeDocument/2006/relationships/hyperlink" Target="https://citeseerx.ist.psu.edu/viewdoc/download?doi=10.1.1.118.6922&amp;rep=rep1&amp;type=pdf" TargetMode="External"/><Relationship Id="rId73" Type="http://schemas.openxmlformats.org/officeDocument/2006/relationships/hyperlink" Target="https://citeseerx.ist.psu.edu/viewdoc/download?doi=10.1.1.118.6922&amp;rep=rep1&amp;type=pdf" TargetMode="External"/><Relationship Id="rId74" Type="http://schemas.openxmlformats.org/officeDocument/2006/relationships/hyperlink" Target="https://citeseerx.ist.psu.edu/viewdoc/download?doi=10.1.1.118.6922&amp;rep=rep1&amp;type=pdf" TargetMode="External"/><Relationship Id="rId75" Type="http://schemas.openxmlformats.org/officeDocument/2006/relationships/hyperlink" Target="https://citeseerx.ist.psu.edu/viewdoc/download?doi=10.1.1.118.6922&amp;rep=rep1&amp;type=pdf" TargetMode="External"/><Relationship Id="rId76" Type="http://schemas.openxmlformats.org/officeDocument/2006/relationships/hyperlink" Target="https://citeseerx.ist.psu.edu/viewdoc/download?doi=10.1.1.118.6922&amp;rep=rep1&amp;type=pdf" TargetMode="External"/><Relationship Id="rId77" Type="http://schemas.openxmlformats.org/officeDocument/2006/relationships/hyperlink" Target="https://citeseerx.ist.psu.edu/viewdoc/download?doi=10.1.1.118.6922&amp;rep=rep1&amp;type=pdf" TargetMode="External"/><Relationship Id="rId78" Type="http://schemas.openxmlformats.org/officeDocument/2006/relationships/hyperlink" Target="https://citeseerx.ist.psu.edu/viewdoc/download?doi=10.1.1.118.6922&amp;rep=rep1&amp;type=pdf" TargetMode="External"/><Relationship Id="rId79" Type="http://schemas.openxmlformats.org/officeDocument/2006/relationships/hyperlink" Target="https://citeseerx.ist.psu.edu/viewdoc/download?doi=10.1.1.118.6922&amp;rep=rep1&amp;type=pdf" TargetMode="External"/><Relationship Id="rId80" Type="http://schemas.openxmlformats.org/officeDocument/2006/relationships/hyperlink" Target="https://download.atlantis-press.com/article/25860375.pdf" TargetMode="External"/><Relationship Id="rId81" Type="http://schemas.openxmlformats.org/officeDocument/2006/relationships/hyperlink" Target="https://download.atlantis-press.com/article/25860375.pdf" TargetMode="External"/><Relationship Id="rId82" Type="http://schemas.openxmlformats.org/officeDocument/2006/relationships/hyperlink" Target="https://doi.org/10.1109/ISEE.2008.4562888" TargetMode="External"/><Relationship Id="rId83" Type="http://schemas.openxmlformats.org/officeDocument/2006/relationships/hyperlink" Target="https://doi.org/10.1109/ISEE.2008.4562888" TargetMode="External"/><Relationship Id="rId84" Type="http://schemas.openxmlformats.org/officeDocument/2006/relationships/hyperlink" Target="https://doi.org/10.1109/ISEE.2008.4562888" TargetMode="External"/><Relationship Id="rId85" Type="http://schemas.openxmlformats.org/officeDocument/2006/relationships/hyperlink" Target="https://doi.org/10.1109/ISEE.2008.4562888" TargetMode="External"/><Relationship Id="rId86" Type="http://schemas.openxmlformats.org/officeDocument/2006/relationships/hyperlink" Target="https://doi.org/10.1109/ISEE.2008.4562888" TargetMode="External"/><Relationship Id="rId87" Type="http://schemas.openxmlformats.org/officeDocument/2006/relationships/hyperlink" Target="https://doi.org/10.1109/ISEE.2008.4562888" TargetMode="External"/><Relationship Id="rId88" Type="http://schemas.openxmlformats.org/officeDocument/2006/relationships/hyperlink" Target="https://doi.org/10.1109/ISEE.2008.4562888" TargetMode="External"/><Relationship Id="rId89" Type="http://schemas.openxmlformats.org/officeDocument/2006/relationships/hyperlink" Target="https://doi.org/10.1109/ISEE.2008.4562888" TargetMode="External"/><Relationship Id="rId90" Type="http://schemas.openxmlformats.org/officeDocument/2006/relationships/hyperlink" Target="https://doi.org/10.1109/ISEE.2008.4562888" TargetMode="External"/><Relationship Id="rId91" Type="http://schemas.openxmlformats.org/officeDocument/2006/relationships/hyperlink" Target="https://doi.org/10.1109/ISEE.2008.4562888" TargetMode="External"/><Relationship Id="rId92" Type="http://schemas.openxmlformats.org/officeDocument/2006/relationships/hyperlink" Target="https://doi.org/10.1109/ISEE.2008.4562888" TargetMode="External"/><Relationship Id="rId93" Type="http://schemas.openxmlformats.org/officeDocument/2006/relationships/hyperlink" Target="https://doi.org/10.1109/ISEE.2008.4562888" TargetMode="External"/><Relationship Id="rId94" Type="http://schemas.openxmlformats.org/officeDocument/2006/relationships/hyperlink" Target="https://doi.org/10.1109/ISEE.2008.4562888" TargetMode="External"/><Relationship Id="rId95" Type="http://schemas.openxmlformats.org/officeDocument/2006/relationships/hyperlink" Target="https://doi.org/10.1109/ISEE.2008.4562888" TargetMode="External"/><Relationship Id="rId96" Type="http://schemas.openxmlformats.org/officeDocument/2006/relationships/hyperlink" Target="https://doi.org/10.1109/ISEE.2008.4562888" TargetMode="External"/><Relationship Id="rId97" Type="http://schemas.openxmlformats.org/officeDocument/2006/relationships/hyperlink" Target="https://doi.org/10.1109/ISEE.2008.4562888" TargetMode="External"/><Relationship Id="rId98" Type="http://schemas.openxmlformats.org/officeDocument/2006/relationships/hyperlink" Target="https://doi.org/10.1109/ISEE.2008.4562888" TargetMode="External"/><Relationship Id="rId99" Type="http://schemas.openxmlformats.org/officeDocument/2006/relationships/hyperlink" Target="https://doi.org/10.1109/ISEE.2008.4562888" TargetMode="External"/><Relationship Id="rId100" Type="http://schemas.openxmlformats.org/officeDocument/2006/relationships/hyperlink" Target="https://doi.org/10.1109/ISEE.2008.4562888" TargetMode="External"/><Relationship Id="rId101" Type="http://schemas.openxmlformats.org/officeDocument/2006/relationships/hyperlink" Target="https://doi.org/10.1109/ISEE.2008.4562888" TargetMode="External"/><Relationship Id="rId102" Type="http://schemas.openxmlformats.org/officeDocument/2006/relationships/hyperlink" Target="https://doi.org/10.1021/es025643o" TargetMode="External"/><Relationship Id="rId103" Type="http://schemas.openxmlformats.org/officeDocument/2006/relationships/hyperlink" Target="https://doi.org/10.1021/es025643o" TargetMode="External"/><Relationship Id="rId104" Type="http://schemas.openxmlformats.org/officeDocument/2006/relationships/hyperlink" Target="https://doi.org/10.1021/es025643o" TargetMode="External"/><Relationship Id="rId105" Type="http://schemas.openxmlformats.org/officeDocument/2006/relationships/hyperlink" Target="https://doi.org/10.1016/S0360-5442(03)00008-2" TargetMode="External"/><Relationship Id="rId106" Type="http://schemas.openxmlformats.org/officeDocument/2006/relationships/hyperlink" Target="https://doi.org/10.1016/S0360-5442(03)00008-2" TargetMode="External"/><Relationship Id="rId107" Type="http://schemas.openxmlformats.org/officeDocument/2006/relationships/hyperlink" Target="https://doi.org/10.1016/S0360-5442(03)00008-2" TargetMode="External"/><Relationship Id="rId108" Type="http://schemas.openxmlformats.org/officeDocument/2006/relationships/hyperlink" Target="https://doi.org/10.1016/S0360-5442(03)00008-2" TargetMode="External"/><Relationship Id="rId109" Type="http://schemas.openxmlformats.org/officeDocument/2006/relationships/hyperlink" Target="https://doi.org/10.1016/S0360-5442(03)00008-2" TargetMode="External"/><Relationship Id="rId110" Type="http://schemas.openxmlformats.org/officeDocument/2006/relationships/hyperlink" Target="https://doi.org/10.1016/S0360-5442(03)00008-2" TargetMode="External"/><Relationship Id="rId111" Type="http://schemas.openxmlformats.org/officeDocument/2006/relationships/hyperlink" Target="https://doi.org/10.1016/S0360-5442(03)00008-2" TargetMode="External"/><Relationship Id="rId112" Type="http://schemas.openxmlformats.org/officeDocument/2006/relationships/hyperlink" Target="https://doi.org/10.1016/S0360-5442(03)00008-2" TargetMode="External"/><Relationship Id="rId113" Type="http://schemas.openxmlformats.org/officeDocument/2006/relationships/hyperlink" Target="http://hdl.handle.net/1721.1/46056" TargetMode="External"/><Relationship Id="rId114" Type="http://schemas.openxmlformats.org/officeDocument/2006/relationships/hyperlink" Target="http://hdl.handle.net/1721.1/46056" TargetMode="External"/><Relationship Id="rId115" Type="http://schemas.openxmlformats.org/officeDocument/2006/relationships/hyperlink" Target="http://hdl.handle.net/1721.1/46056" TargetMode="External"/><Relationship Id="rId116" Type="http://schemas.openxmlformats.org/officeDocument/2006/relationships/hyperlink" Target="http://hdl.handle.net/1721.1/46056" TargetMode="External"/><Relationship Id="rId117" Type="http://schemas.openxmlformats.org/officeDocument/2006/relationships/hyperlink" Target="http://hdl.handle.net/1721.1/46056" TargetMode="External"/><Relationship Id="rId118" Type="http://schemas.openxmlformats.org/officeDocument/2006/relationships/hyperlink" Target="http://hdl.handle.net/1721.1/46056" TargetMode="External"/><Relationship Id="rId119" Type="http://schemas.openxmlformats.org/officeDocument/2006/relationships/hyperlink" Target="http://hdl.handle.net/1721.1/46056" TargetMode="External"/><Relationship Id="rId120" Type="http://schemas.openxmlformats.org/officeDocument/2006/relationships/hyperlink" Target="https://doi.org/10.1021/es034434g" TargetMode="External"/><Relationship Id="rId121" Type="http://schemas.openxmlformats.org/officeDocument/2006/relationships/hyperlink" Target="https://doi.org/10.1021/es034434g" TargetMode="External"/><Relationship Id="rId122" Type="http://schemas.openxmlformats.org/officeDocument/2006/relationships/hyperlink" Target="https://doi.org/10.1021/es903297k" TargetMode="External"/><Relationship Id="rId123" Type="http://schemas.openxmlformats.org/officeDocument/2006/relationships/hyperlink" Target="https://doi.org/10.1021/es903297k" TargetMode="External"/><Relationship Id="rId124" Type="http://schemas.openxmlformats.org/officeDocument/2006/relationships/hyperlink" Target="https://doi.org/10.1021/es903297k" TargetMode="External"/><Relationship Id="rId125" Type="http://schemas.openxmlformats.org/officeDocument/2006/relationships/hyperlink" Target="https://doi.org/10.1021/es903297k" TargetMode="External"/><Relationship Id="rId126" Type="http://schemas.openxmlformats.org/officeDocument/2006/relationships/hyperlink" Target="https://doi.org/10.1021/es903297k" TargetMode="External"/><Relationship Id="rId127" Type="http://schemas.openxmlformats.org/officeDocument/2006/relationships/hyperlink" Target="https://doi.org/10.1021/es903297k" TargetMode="External"/><Relationship Id="rId128" Type="http://schemas.openxmlformats.org/officeDocument/2006/relationships/hyperlink" Target="https://doi.org/10.1021/es903297k" TargetMode="External"/><Relationship Id="rId129" Type="http://schemas.openxmlformats.org/officeDocument/2006/relationships/hyperlink" Target="https://doi.org/10.1021/es903297k" TargetMode="External"/><Relationship Id="rId130"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131"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132" Type="http://schemas.openxmlformats.org/officeDocument/2006/relationships/hyperlink" Target="https://www.umc.com/upload/media/07_Sustainability/72_Reports_and_Results/1_Corporate_Sustainability_Reports/CSR_Reports/CS_Report_English_pdf/2018_CSR_report_eng_all.pdf" TargetMode="External"/><Relationship Id="rId133" Type="http://schemas.openxmlformats.org/officeDocument/2006/relationships/hyperlink" Target="https://www.umc.com/upload/media/07_Sustainability/72_Reports_and_Results/1_Corporate_Sustainability_Reports/CSR_Reports/CS_Report_English_pdf/2017_CSR_report_eng_all.pdf" TargetMode="External"/><Relationship Id="rId134" Type="http://schemas.openxmlformats.org/officeDocument/2006/relationships/hyperlink" Target="https://www.umc.com/upload/media/07_Sustainability/72_Reports_and_Results/1_Corporate_Sustainability_Reports/CSR_Reports/CS_Report_English_pdf/2016_CSR_report_eng_all.pdf" TargetMode="External"/><Relationship Id="rId135" Type="http://schemas.openxmlformats.org/officeDocument/2006/relationships/hyperlink" Target="https://www.umc.com/upload/media/07_Sustainability/72_Reports_and_Results/1_Corporate_Sustainability_Reports/CSR_Reports/CS_Report_English_pdf/2015_CSR_report_eng_all.pdf" TargetMode="External"/><Relationship Id="rId136" Type="http://schemas.openxmlformats.org/officeDocument/2006/relationships/hyperlink" Target="https://www.umc.com/upload/media/07_Sustainability/72_Reports_and_Results/1_Corporate_Sustainability_Reports/CSR_Reports/CS_Report_English_pdf/2014_CSR_report_eng_all.pdf" TargetMode="External"/><Relationship Id="rId137" Type="http://schemas.openxmlformats.org/officeDocument/2006/relationships/hyperlink" Target="https://www.umc.com/upload/media/07_Sustainability/72_Reports_and_Results/1_Corporate_Sustainability_Reports/CSR_Reports/CS_Report_English_pdf/2014_CSR_report_eng_all.pdf" TargetMode="External"/><Relationship Id="rId138" Type="http://schemas.openxmlformats.org/officeDocument/2006/relationships/hyperlink" Target="https://www.umc.com/upload/media/07_Sustainability/72_Reports_and_Results/1_Corporate_Sustainability_Reports/CSR_Reports/CS_Report_English_pdf/2014_CSR_report_eng_all.pdf" TargetMode="External"/><Relationship Id="rId139" Type="http://schemas.openxmlformats.org/officeDocument/2006/relationships/hyperlink" Target="https://www.umc.com/upload/media/07_Sustainability/72_Reports_and_Results/1_Corporate_Sustainability_Reports/CSR_Reports/CS_Report_English_pdf/2014_CSR_report_eng_all.pdf" TargetMode="External"/><Relationship Id="rId140" Type="http://schemas.openxmlformats.org/officeDocument/2006/relationships/hyperlink" Target="https://esg.tsmc.com/download/csr/2019-csr-report/english/pdf/e-all.pdf" TargetMode="External"/><Relationship Id="rId141" Type="http://schemas.openxmlformats.org/officeDocument/2006/relationships/hyperlink" Target="https://esg.tsmc.com/download/csr/2019-csr-report/english/pdf/e-all.pdf" TargetMode="External"/><Relationship Id="rId142" Type="http://schemas.openxmlformats.org/officeDocument/2006/relationships/hyperlink" Target="https://csr.tsmc.com/download/csr/2018_tsmc_csr_report_published_May_2019/english/pdf/e_all.pdf" TargetMode="External"/><Relationship Id="rId143" Type="http://schemas.openxmlformats.org/officeDocument/2006/relationships/hyperlink" Target="https://csr.tsmc.com/download/csr/2018_tsmc_csr/english/pdf/e_all.pdf" TargetMode="External"/><Relationship Id="rId144" Type="http://schemas.openxmlformats.org/officeDocument/2006/relationships/hyperlink" Target="https://csr.tsmc.com/download/csr/2017_tsmc_csr/english/pdf/e_all.pdf" TargetMode="External"/><Relationship Id="rId145" Type="http://schemas.openxmlformats.org/officeDocument/2006/relationships/hyperlink" Target="https://csr.tsmc.com/download/csr/2016_tsmc_csr/english/index.html" TargetMode="External"/><Relationship Id="rId146" Type="http://schemas.openxmlformats.org/officeDocument/2006/relationships/hyperlink" Target="https://csr.tsmc.com/download/csr/2015_tsmc_csr/english/index.html" TargetMode="External"/><Relationship Id="rId147" Type="http://schemas.openxmlformats.org/officeDocument/2006/relationships/hyperlink" Target="https://csr.tsmc.com/download/csr/2014_tsmc_csr/english/index.html" TargetMode="External"/><Relationship Id="rId148" Type="http://schemas.openxmlformats.org/officeDocument/2006/relationships/hyperlink" Target="https://csr.tsmc.com/download/csr/2013_tsmc_csr/english/index.html" TargetMode="External"/><Relationship Id="rId149" Type="http://schemas.openxmlformats.org/officeDocument/2006/relationships/hyperlink" Target="https://csr.tsmc.com/download/csr/2012_tsmc_csr/tsmc-e.html" TargetMode="External"/><Relationship Id="rId150" Type="http://schemas.openxmlformats.org/officeDocument/2006/relationships/hyperlink" Target="https://csr.tsmc.com/download/csr/2011_tsmc_csr_e/tsmc-e.html" TargetMode="External"/><Relationship Id="rId151"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152"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153" Type="http://schemas.openxmlformats.org/officeDocument/2006/relationships/hyperlink" Target="https://www.st.com/content/ccc/resource/corporate/financial/quarterly_report/group0/ed/d9/47/32/a4/d6/42/01/ST_Sustainability_Report_2019/files/ST_Sustainability_Report_2019.pdf/jcr:content/translations/en.ST_Sustainability_Report_2019.pdf" TargetMode="External"/><Relationship Id="rId154" Type="http://schemas.openxmlformats.org/officeDocument/2006/relationships/hyperlink" Target="https://www.st.com/content/ccc/resource/corporate/financial/quarterly_report/group0/66/45/58/d7/6a/4e/49/98/ST_Sustainability_Report_2018/files/ST_Sustainability_Report_2018.pdf/_jcr_content/translations/en.ST_Sustainability_Report_2018.pdf" TargetMode="External"/><Relationship Id="rId155" Type="http://schemas.openxmlformats.org/officeDocument/2006/relationships/hyperlink" Target="https://www.st.com/content/ccc/resource/corporate/financial/quarterly_report/group0/8b/57/65/59/08/d7/48/fc/ST_Sustainability_Report_2017/files/ST_Sustainability_Report_2017.pdf/_jcr_content/translations/en.ST_Sustainability_Report_2017.pdf" TargetMode="External"/><Relationship Id="rId156" Type="http://schemas.openxmlformats.org/officeDocument/2006/relationships/hyperlink" Target="https://www.st.com/content/ccc/resource/corporate/financial/quarterly_report/group0/8b/a2/52/e4/63/84/47/27/Sustainability%20Report%202015/files/cr15.pdf/_jcr_content/translations/en.cr15.pdf" TargetMode="External"/><Relationship Id="rId157" Type="http://schemas.openxmlformats.org/officeDocument/2006/relationships/hyperlink" Target="https://www.st.com/content/ccc/resource/corporate/financial/quarterly_report/10/d8/a7/80/66/69/47/c4/ST_sustainability_report_2014.pdf/files/ST_sustainability_report_2014.pdf/_jcr_content/translations/en.ST_sustainability_report_2014.pdf" TargetMode="External"/><Relationship Id="rId158" Type="http://schemas.openxmlformats.org/officeDocument/2006/relationships/hyperlink" Target="https://www.st.com/content/ccc/resource/corporate/financial/quarterly_report/b9/93/95/97/e7/4b/4a/c9/ST_sustainability_report_2013.pdf/files/ST_sustainability_report_2013.pdf/_jcr_content/translations/en.ST_sustainability_report_2013.pdf" TargetMode="External"/><Relationship Id="rId159" Type="http://schemas.openxmlformats.org/officeDocument/2006/relationships/hyperlink" Target="https://www.st.com/content/ccc/resource/corporate/financial/quarterly_report/cb/63/3a/fd/90/ae/4b/46/cr12.pdf/files/cr12.pdf/_jcr_content/translations/en.cr12.pdf" TargetMode="External"/><Relationship Id="rId160" Type="http://schemas.openxmlformats.org/officeDocument/2006/relationships/hyperlink" Target="https://www.st.com/content/ccc/resource/corporate/financial/quarterly_report/a4/bb/ea/fb/e6/8a/46/0f/cr11.pdf/files/cr11.pdf/_jcr_content/translations/en.cr11.pdf" TargetMode="External"/><Relationship Id="rId161" Type="http://schemas.openxmlformats.org/officeDocument/2006/relationships/hyperlink" Target="https://www.smics.com/uploads/1_&amp;e4&amp;b8&amp;ad&amp;e8&amp;8a&amp;af&amp;e5&amp;9b&amp;bd&amp;e9&amp;99&amp;85&amp;e7&amp;a4&amp;be&amp;e4&amp;bc&amp;9a&amp;e8&amp;b4&amp;a3&amp;e4&amp;bb&amp;bb&amp;e6&amp;8a&amp;a5&amp;e5&amp;91&amp;8a-&amp;e8&amp;8b&amp;b1&amp;e6&amp;96&amp;87&amp;e6&amp;8c&amp;82&amp;e7&amp;bd&amp;91&amp;e7&amp;89&amp;887.26-5.pdf" TargetMode="External"/><Relationship Id="rId162" Type="http://schemas.openxmlformats.org/officeDocument/2006/relationships/hyperlink" Target="https://www.smics.com/uploads/2019%20SMIC%20CSR%20Report%20Final-&amp;e8&amp;8b&amp;b1&amp;e6&amp;96&amp;87.pdf" TargetMode="External"/><Relationship Id="rId163" Type="http://schemas.openxmlformats.org/officeDocument/2006/relationships/hyperlink" Target="https://www.smics.com/uploads/2018%20CSR%20Report-EN.pdf" TargetMode="External"/><Relationship Id="rId164" Type="http://schemas.openxmlformats.org/officeDocument/2006/relationships/hyperlink" Target="https://www.smics.com/uploads/2017%20SMIC%20CSR%20Report%20_EN.pdf" TargetMode="External"/><Relationship Id="rId165" Type="http://schemas.openxmlformats.org/officeDocument/2006/relationships/hyperlink" Target="https://www.smics.com/uploads/2016_SMIC_CSR_Report.pdf" TargetMode="External"/><Relationship Id="rId166" Type="http://schemas.openxmlformats.org/officeDocument/2006/relationships/hyperlink" Target="https://www.smics.com/uploads/2015_SMIC_CSR_Report.pdf" TargetMode="External"/><Relationship Id="rId167" Type="http://schemas.openxmlformats.org/officeDocument/2006/relationships/hyperlink" Target="https://www.smics.com/uploads/2014_SMIC_CSR_Report.pdf" TargetMode="External"/><Relationship Id="rId168" Type="http://schemas.openxmlformats.org/officeDocument/2006/relationships/hyperlink" Target="https://www.smics.com/uploads/2013_SMIC_CSR_Report.pdf" TargetMode="External"/><Relationship Id="rId169" Type="http://schemas.openxmlformats.org/officeDocument/2006/relationships/hyperlink" Target="https://www.smics.com/uploads/2011-2012_SMIC_CSR_Report.pdf" TargetMode="External"/><Relationship Id="rId170" Type="http://schemas.openxmlformats.org/officeDocument/2006/relationships/hyperlink" Target="https://www.smics.com/uploads/2011-2012_SMIC_CSR_Report.pdf" TargetMode="External"/><Relationship Id="rId171" Type="http://schemas.openxmlformats.org/officeDocument/2006/relationships/hyperlink" Target="https://www.globalfoundries.com/sites/default/files/2021-01/gf_2020_csr_report.pdf" TargetMode="External"/><Relationship Id="rId172" Type="http://schemas.openxmlformats.org/officeDocument/2006/relationships/hyperlink" Target="https://gf.com/sites/default/files/gf_crr19_0808_final_2.pdf" TargetMode="External"/><Relationship Id="rId173" Type="http://schemas.openxmlformats.org/officeDocument/2006/relationships/hyperlink" Target="https://gf.com/sites/default/files/gf_crr18_1219a.pdf" TargetMode="External"/><Relationship Id="rId174" Type="http://schemas.openxmlformats.org/officeDocument/2006/relationships/hyperlink" Target="https://gf.com/sites/default/files/globalfoundries-2017-csr-report-final.pdf" TargetMode="External"/><Relationship Id="rId175" Type="http://schemas.openxmlformats.org/officeDocument/2006/relationships/hyperlink" Target="https://gf.com/sites/default/files/gf-2016-csr-report-12-21-16.pdf" TargetMode="External"/><Relationship Id="rId176" Type="http://schemas.openxmlformats.org/officeDocument/2006/relationships/hyperlink" Target="https://gf.com/sites/default/files/gf-2016-csr-report-12-21-16.pdf" TargetMode="External"/><Relationship Id="rId177" Type="http://schemas.openxmlformats.org/officeDocument/2006/relationships/hyperlink" Target="https://gf.com/sites/default/files/globalfoundries-corporate-responsibility-report-9-23-final.pdf" TargetMode="External"/><Relationship Id="rId178" Type="http://schemas.openxmlformats.org/officeDocument/2006/relationships/hyperlink" Target="https://gf.com/sites/default/files/globalfoundries-corporate-responsibility-report-9-23-final.pdf" TargetMode="External"/><Relationship Id="rId179" Type="http://schemas.openxmlformats.org/officeDocument/2006/relationships/hyperlink" Target="https://gf.com/sites/default/files/2012-corporate-responsibility-report.pdf" TargetMode="External"/><Relationship Id="rId180" Type="http://schemas.openxmlformats.org/officeDocument/2006/relationships/hyperlink" Target="https://gf.com/sites/default/files/2012-corporate-responsibility-report.pdf" TargetMode="External"/><Relationship Id="rId181" Type="http://schemas.openxmlformats.org/officeDocument/2006/relationships/hyperlink" Target="https://eps.ieee.org/images/files/Roadmap/ITRSESH2015.pdf" TargetMode="External"/><Relationship Id="rId182" Type="http://schemas.openxmlformats.org/officeDocument/2006/relationships/hyperlink" Target="https://eps.ieee.org/images/files/Roadmap/ITRSESH2015.pdf" TargetMode="External"/><Relationship Id="rId183" Type="http://schemas.openxmlformats.org/officeDocument/2006/relationships/hyperlink" Target="https://eps.ieee.org/images/files/Roadmap/ITRSESH2015.pdf" TargetMode="External"/><Relationship Id="rId184" Type="http://schemas.openxmlformats.org/officeDocument/2006/relationships/hyperlink" Target="https://eps.ieee.org/images/files/Roadmap/ITRSESH2015.pdf" TargetMode="External"/><Relationship Id="rId185" Type="http://schemas.openxmlformats.org/officeDocument/2006/relationships/hyperlink" Target="https://eps.ieee.org/images/files/Roadmap/ITRSESH2015.pdf" TargetMode="External"/><Relationship Id="rId186" Type="http://schemas.openxmlformats.org/officeDocument/2006/relationships/hyperlink" Target="https://eps.ieee.org/images/files/Roadmap/ITRSESH2015.pdf" TargetMode="External"/><Relationship Id="rId187" Type="http://schemas.openxmlformats.org/officeDocument/2006/relationships/hyperlink" Target="https://eps.ieee.org/images/files/Roadmap/ITRSESH2015.pdf" TargetMode="External"/><Relationship Id="rId188" Type="http://schemas.openxmlformats.org/officeDocument/2006/relationships/hyperlink" Target="https://eps.ieee.org/images/files/Roadmap/ITRSESH2015.pdf" TargetMode="External"/><Relationship Id="rId189" Type="http://schemas.openxmlformats.org/officeDocument/2006/relationships/hyperlink" Target="https://gabi.sphera.com/international/databases/gabi-databases/electronics/" TargetMode="External"/><Relationship Id="rId190" Type="http://schemas.openxmlformats.org/officeDocument/2006/relationships/hyperlink" Target="https://gabi.sphera.com/international/databases/gabi-databases/electronics/" TargetMode="External"/><Relationship Id="rId191" Type="http://schemas.openxmlformats.org/officeDocument/2006/relationships/hyperlink" Target="https://gabi.sphera.com/international/databases/gabi-databases/electronics/" TargetMode="External"/><Relationship Id="rId192" Type="http://schemas.openxmlformats.org/officeDocument/2006/relationships/hyperlink" Target="https://gabi.sphera.com/international/databases/gabi-databases/electronics/" TargetMode="External"/><Relationship Id="rId193" Type="http://schemas.openxmlformats.org/officeDocument/2006/relationships/hyperlink" Target="https://gabi.sphera.com/international/databases/gabi-databases/electronics/" TargetMode="External"/><Relationship Id="rId194" Type="http://schemas.openxmlformats.org/officeDocument/2006/relationships/hyperlink" Target="https://gabi.sphera.com/international/databases/gabi-databases/electronics/" TargetMode="External"/><Relationship Id="rId195" Type="http://schemas.openxmlformats.org/officeDocument/2006/relationships/hyperlink" Target="https://gabi.sphera.com/international/databases/gabi-databases/electronics/" TargetMode="External"/><Relationship Id="rId196" Type="http://schemas.openxmlformats.org/officeDocument/2006/relationships/hyperlink" Target="https://gabi.sphera.com/international/databases/gabi-databases/electronics/" TargetMode="External"/><Relationship Id="rId197" Type="http://schemas.openxmlformats.org/officeDocument/2006/relationships/hyperlink" Target="https://gabi.sphera.com/international/databases/gabi-databases/electronics/" TargetMode="External"/><Relationship Id="rId198" Type="http://schemas.openxmlformats.org/officeDocument/2006/relationships/hyperlink" Target="https://gabi.sphera.com/international/databases/gabi-databases/electronics/" TargetMode="External"/><Relationship Id="rId199" Type="http://schemas.openxmlformats.org/officeDocument/2006/relationships/hyperlink" Target="https://gabi.sphera.com/international/databases/gabi-databases/electronics/" TargetMode="External"/><Relationship Id="rId200" Type="http://schemas.openxmlformats.org/officeDocument/2006/relationships/hyperlink" Target="https://gabi.sphera.com/international/databases/gabi-databases/electronics/" TargetMode="External"/><Relationship Id="rId201" Type="http://schemas.openxmlformats.org/officeDocument/2006/relationships/drawing" Target="../drawings/drawing1.xml"/>
</Relationships>
</file>

<file path=xl/worksheets/_rels/sheet20.xml.rels><?xml version="1.0" encoding="UTF-8"?>
<Relationships xmlns="http://schemas.openxmlformats.org/package/2006/relationships"><Relationship Id="rId1" Type="http://schemas.openxmlformats.org/officeDocument/2006/relationships/hyperlink" Target="https://doi.org/10.1109/ISSST.2010.5507677" TargetMode="External"/><Relationship Id="rId2" Type="http://schemas.openxmlformats.org/officeDocument/2006/relationships/drawing" Target="../drawings/drawing9.xml"/>
</Relationships>
</file>

<file path=xl/worksheets/_rels/sheet21.xml.rels><?xml version="1.0" encoding="UTF-8"?>
<Relationships xmlns="http://schemas.openxmlformats.org/package/2006/relationships"><Relationship Id="rId1" Type="http://schemas.openxmlformats.org/officeDocument/2006/relationships/hyperlink" Target="https://doi.org/10.1016/j.segan.2020.100408" TargetMode="External"/><Relationship Id="rId2" Type="http://schemas.openxmlformats.org/officeDocument/2006/relationships/drawing" Target="../drawings/drawing10.xml"/>
</Relationships>
</file>

<file path=xl/worksheets/_rels/sheet22.xml.rels><?xml version="1.0" encoding="UTF-8"?>
<Relationships xmlns="http://schemas.openxmlformats.org/package/2006/relationships"><Relationship Id="rId1" Type="http://schemas.openxmlformats.org/officeDocument/2006/relationships/hyperlink" Target="https://doi.org/10.1016/j.jclepro.2011.03.004" TargetMode="External"/><Relationship Id="rId2" Type="http://schemas.openxmlformats.org/officeDocument/2006/relationships/hyperlink" Target="https://doi.org/10.1109/ISEE.2008.4562888" TargetMode="External"/><Relationship Id="rId3" Type="http://schemas.openxmlformats.org/officeDocument/2006/relationships/drawing" Target="../drawings/drawing11.xml"/>
</Relationships>
</file>

<file path=xl/worksheets/_rels/sheet23.xml.rels><?xml version="1.0" encoding="UTF-8"?>
<Relationships xmlns="http://schemas.openxmlformats.org/package/2006/relationships"><Relationship Id="rId1" Type="http://schemas.openxmlformats.org/officeDocument/2006/relationships/hyperlink" Target="https://download.atlantis-press.com/article/25860375.pdf" TargetMode="External"/><Relationship Id="rId2" Type="http://schemas.openxmlformats.org/officeDocument/2006/relationships/drawing" Target="../drawings/drawing12.xml"/>
</Relationships>
</file>

<file path=xl/worksheets/_rels/sheet24.xml.rels><?xml version="1.0" encoding="UTF-8"?>
<Relationships xmlns="http://schemas.openxmlformats.org/package/2006/relationships"><Relationship Id="rId1" Type="http://schemas.openxmlformats.org/officeDocument/2006/relationships/hyperlink" Target="https://doi.org/10.1109/ICCAD.2013.6691120" TargetMode="External"/><Relationship Id="rId2" Type="http://schemas.openxmlformats.org/officeDocument/2006/relationships/drawing" Target="../drawings/drawing13.xml"/>
</Relationships>
</file>

<file path=xl/worksheets/_rels/sheet25.xml.rels><?xml version="1.0" encoding="UTF-8"?>
<Relationships xmlns="http://schemas.openxmlformats.org/package/2006/relationships"><Relationship Id="rId1" Type="http://schemas.openxmlformats.org/officeDocument/2006/relationships/hyperlink" Target="https://doi.org/10.1109/IGCC.2016.7892605" TargetMode="External"/><Relationship Id="rId2" Type="http://schemas.openxmlformats.org/officeDocument/2006/relationships/hyperlink" Target="https://doi.org/10.1109/IGCC.2017.8323572" TargetMode="External"/><Relationship Id="rId3" Type="http://schemas.openxmlformats.org/officeDocument/2006/relationships/drawing" Target="../drawings/drawing14.xml"/>
</Relationships>
</file>

<file path=xl/worksheets/_rels/sheet26.xml.rels><?xml version="1.0" encoding="UTF-8"?>
<Relationships xmlns="http://schemas.openxmlformats.org/package/2006/relationships"><Relationship Id="rId1" Type="http://schemas.openxmlformats.org/officeDocument/2006/relationships/hyperlink" Target="https://pubs.acs.org/doi/abs/10.1021/es071174k" TargetMode="External"/><Relationship Id="rId2" Type="http://schemas.openxmlformats.org/officeDocument/2006/relationships/hyperlink" Target="https://math.stackexchange.com/questions/3007527/how-many-squares-fit-in-a-circle" TargetMode="External"/><Relationship Id="rId3" Type="http://schemas.openxmlformats.org/officeDocument/2006/relationships/hyperlink" Target="https://www.symbolab.com/solver/equation-calculator/491%3D%5Cfrac%7B3.14%5Ccdot%5Cleft(150%5E%7B2%7D%5Cright)%7D%7Bx%7D-%5Cfrac%7B3.14%5Ccdot150%7D%7B%5Csqrt%7B2%5Ccdot%20x%7D%7D?or=input" TargetMode="External"/>
</Relationships>
</file>

<file path=xl/worksheets/_rels/sheet27.xml.rels><?xml version="1.0" encoding="UTF-8"?>
<Relationships xmlns="http://schemas.openxmlformats.org/package/2006/relationships"><Relationship Id="rId1" Type="http://schemas.openxmlformats.org/officeDocument/2006/relationships/hyperlink" Target="https://doi.org/10.1016/S0360-5442(03)00008-2" TargetMode="External"/><Relationship Id="rId2" Type="http://schemas.openxmlformats.org/officeDocument/2006/relationships/drawing" Target="../drawings/drawing15.xml"/>
</Relationships>
</file>

<file path=xl/worksheets/_rels/sheet28.xml.rels><?xml version="1.0" encoding="UTF-8"?>
<Relationships xmlns="http://schemas.openxmlformats.org/package/2006/relationships"><Relationship Id="rId1" Type="http://schemas.openxmlformats.org/officeDocument/2006/relationships/hyperlink" Target="https://doi.org/10.1007/s13762-015-0869-z" TargetMode="External"/><Relationship Id="rId2" Type="http://schemas.openxmlformats.org/officeDocument/2006/relationships/drawing" Target="../drawings/drawing16.xml"/>
</Relationships>
</file>

<file path=xl/worksheets/_rels/sheet29.xml.rels><?xml version="1.0" encoding="UTF-8"?>
<Relationships xmlns="http://schemas.openxmlformats.org/package/2006/relationships"><Relationship Id="rId1" Type="http://schemas.openxmlformats.org/officeDocument/2006/relationships/hyperlink" Target="https://doi.org/10.1021/es034434g" TargetMode="External"/><Relationship Id="rId2" Type="http://schemas.openxmlformats.org/officeDocument/2006/relationships/drawing" Target="../drawings/drawing17.xml"/>
</Relationships>
</file>

<file path=xl/worksheets/_rels/sheet3.xml.rels><?xml version="1.0" encoding="UTF-8"?>
<Relationships xmlns="http://schemas.openxmlformats.org/package/2006/relationships"><Relationship Id="rId1" Type="http://schemas.openxmlformats.org/officeDocument/2006/relationships/hyperlink" Target="https://www.fairphone.com/wp-content/uploads/2016/11/Fairphone_2_LCA_Final_20161122.pdf" TargetMode="External"/><Relationship Id="rId2" Type="http://schemas.openxmlformats.org/officeDocument/2006/relationships/hyperlink" Target="https://www.fairphone.com/wp-content/uploads/2020/07/Fairphone_3_LCA.pdf" TargetMode="External"/><Relationship Id="rId3" Type="http://schemas.openxmlformats.org/officeDocument/2006/relationships/hyperlink" Target="https://ieeexplore.ieee.org/document/9372004/" TargetMode="External"/><Relationship Id="rId4" Type="http://schemas.openxmlformats.org/officeDocument/2006/relationships/hyperlink" Target="https://ieeexplore.ieee.org/document/9372004/" TargetMode="External"/><Relationship Id="rId5" Type="http://schemas.openxmlformats.org/officeDocument/2006/relationships/hyperlink" Target="https://ieeexplore.ieee.org/document/9372004/" TargetMode="External"/><Relationship Id="rId6" Type="http://schemas.openxmlformats.org/officeDocument/2006/relationships/hyperlink" Target="https://ieeexplore.ieee.org/document/9372004/" TargetMode="External"/><Relationship Id="rId7" Type="http://schemas.openxmlformats.org/officeDocument/2006/relationships/hyperlink" Target="https://ieeexplore.ieee.org/document/9372004/" TargetMode="External"/><Relationship Id="rId8" Type="http://schemas.openxmlformats.org/officeDocument/2006/relationships/hyperlink" Target="https://ieeexplore.ieee.org/document/9372004/" TargetMode="External"/><Relationship Id="rId9" Type="http://schemas.openxmlformats.org/officeDocument/2006/relationships/hyperlink" Target="https://ieeexplore.ieee.org/document/9372004/" TargetMode="External"/><Relationship Id="rId10" Type="http://schemas.openxmlformats.org/officeDocument/2006/relationships/hyperlink" Target="https://ieeexplore.ieee.org/document/9372004/" TargetMode="External"/><Relationship Id="rId11" Type="http://schemas.openxmlformats.org/officeDocument/2006/relationships/hyperlink" Target="https://ieeexplore.ieee.org/document/9372004/" TargetMode="External"/><Relationship Id="rId12" Type="http://schemas.openxmlformats.org/officeDocument/2006/relationships/hyperlink" Target="http://link.springer.com/10.1007/978-1-4419-9988-7" TargetMode="External"/><Relationship Id="rId13" Type="http://schemas.openxmlformats.org/officeDocument/2006/relationships/hyperlink" Target="http://link.springer.com/10.1007/978-1-4419-9988-7" TargetMode="External"/><Relationship Id="rId14" Type="http://schemas.openxmlformats.org/officeDocument/2006/relationships/hyperlink" Target="http://link.springer.com/10.1007/978-1-4419-9988-7" TargetMode="External"/><Relationship Id="rId15" Type="http://schemas.openxmlformats.org/officeDocument/2006/relationships/hyperlink" Target="http://link.springer.com/10.1007/978-1-4419-9988-7" TargetMode="External"/><Relationship Id="rId16" Type="http://schemas.openxmlformats.org/officeDocument/2006/relationships/hyperlink" Target="http://link.springer.com/10.1007/978-1-4419-9988-7" TargetMode="External"/><Relationship Id="rId17" Type="http://schemas.openxmlformats.org/officeDocument/2006/relationships/hyperlink" Target="http://link.springer.com/10.1007/978-1-4419-9988-7" TargetMode="External"/><Relationship Id="rId18" Type="http://schemas.openxmlformats.org/officeDocument/2006/relationships/hyperlink" Target="http://link.springer.com/10.1007/978-1-4419-9988-7" TargetMode="External"/><Relationship Id="rId19" Type="http://schemas.openxmlformats.org/officeDocument/2006/relationships/hyperlink" Target="http://link.springer.com/10.1007/978-1-4419-9988-7" TargetMode="External"/><Relationship Id="rId20" Type="http://schemas.openxmlformats.org/officeDocument/2006/relationships/hyperlink" Target="http://www.atlantis-press.com/php/paper-details.php?id=25860375" TargetMode="External"/><Relationship Id="rId21" Type="http://schemas.openxmlformats.org/officeDocument/2006/relationships/hyperlink" Target="https://doi.org/10.14288/1.0167496" TargetMode="External"/><Relationship Id="rId22" Type="http://schemas.openxmlformats.org/officeDocument/2006/relationships/hyperlink" Target="https://doi.org/10.14288/1.0167496" TargetMode="External"/><Relationship Id="rId23" Type="http://schemas.openxmlformats.org/officeDocument/2006/relationships/hyperlink" Target="https://doi.org/10.1109/FTFC.2013.6577767" TargetMode="External"/><Relationship Id="rId24" Type="http://schemas.openxmlformats.org/officeDocument/2006/relationships/hyperlink" Target="https://doi.org/10.1109/FTFC.2013.6577767" TargetMode="External"/><Relationship Id="rId25" Type="http://schemas.openxmlformats.org/officeDocument/2006/relationships/hyperlink" Target="https://doi.org/10.1109/FTFC.2013.6577767" TargetMode="External"/><Relationship Id="rId26" Type="http://schemas.openxmlformats.org/officeDocument/2006/relationships/hyperlink" Target="https://doi.org/10.1109/ISSST.2011.5936883" TargetMode="External"/><Relationship Id="rId27" Type="http://schemas.openxmlformats.org/officeDocument/2006/relationships/hyperlink" Target="https://doi.org/10.1109/ISSST.2011.5936883" TargetMode="External"/><Relationship Id="rId28" Type="http://schemas.openxmlformats.org/officeDocument/2006/relationships/hyperlink" Target="https://doi.org/10.1109/ISSST.2011.5936883" TargetMode="External"/><Relationship Id="rId29" Type="http://schemas.openxmlformats.org/officeDocument/2006/relationships/hyperlink" Target="https://doi.org/10.1109/ISSST.2011.5936883" TargetMode="External"/><Relationship Id="rId30" Type="http://schemas.openxmlformats.org/officeDocument/2006/relationships/hyperlink" Target="https://doi.org/10.1109/ISSST.2011.5936883" TargetMode="External"/><Relationship Id="rId31" Type="http://schemas.openxmlformats.org/officeDocument/2006/relationships/hyperlink" Target="https://www.mpedram.com/Papers/lifecycle-inventory-analysis-finfet-issst14.pdf" TargetMode="External"/><Relationship Id="rId32" Type="http://schemas.openxmlformats.org/officeDocument/2006/relationships/hyperlink" Target="https://www.mpedram.com/Papers/lifecycle-inventory-analysis-finfet-issst14.pdf" TargetMode="External"/><Relationship Id="rId33" Type="http://schemas.openxmlformats.org/officeDocument/2006/relationships/hyperlink" Target="https://www.mpedram.com/Papers/lifecycle-inventory-analysis-finfet-issst14.pdf" TargetMode="External"/><Relationship Id="rId34" Type="http://schemas.openxmlformats.org/officeDocument/2006/relationships/hyperlink" Target="https://doi.org/10.14288/1.0167496" TargetMode="External"/><Relationship Id="rId35" Type="http://schemas.openxmlformats.org/officeDocument/2006/relationships/hyperlink" Target="https://doi.org/10.14288/1.0167496" TargetMode="External"/><Relationship Id="rId36" Type="http://schemas.openxmlformats.org/officeDocument/2006/relationships/hyperlink" Target="https://doi.org/10.14288/1.0167496" TargetMode="External"/><Relationship Id="rId37" Type="http://schemas.openxmlformats.org/officeDocument/2006/relationships/hyperlink" Target="https://doi.org/10.14288/1.0167496" TargetMode="External"/><Relationship Id="rId38" Type="http://schemas.openxmlformats.org/officeDocument/2006/relationships/hyperlink" Target="https://doi.org/10.14288/1.0167496" TargetMode="External"/><Relationship Id="rId39" Type="http://schemas.openxmlformats.org/officeDocument/2006/relationships/hyperlink" Target="http://ieeexplore.ieee.org/document/6691120/" TargetMode="External"/><Relationship Id="rId40" Type="http://schemas.openxmlformats.org/officeDocument/2006/relationships/hyperlink" Target="http://ieeexplore.ieee.org/document/6691120/" TargetMode="External"/><Relationship Id="rId41" Type="http://schemas.openxmlformats.org/officeDocument/2006/relationships/hyperlink" Target="http://ieeexplore.ieee.org/document/6691120/" TargetMode="External"/><Relationship Id="rId42" Type="http://schemas.openxmlformats.org/officeDocument/2006/relationships/hyperlink" Target="http://ieeexplore.ieee.org/document/6691120/" TargetMode="External"/><Relationship Id="rId43" Type="http://schemas.openxmlformats.org/officeDocument/2006/relationships/hyperlink" Target="http://ieeexplore.ieee.org/document/6691120/" TargetMode="External"/><Relationship Id="rId44" Type="http://schemas.openxmlformats.org/officeDocument/2006/relationships/hyperlink" Target="http://ieeexplore.ieee.org/document/6691120/" TargetMode="External"/><Relationship Id="rId45" Type="http://schemas.openxmlformats.org/officeDocument/2006/relationships/hyperlink" Target="http://ieeexplore.ieee.org/document/6691120/" TargetMode="External"/><Relationship Id="rId46" Type="http://schemas.openxmlformats.org/officeDocument/2006/relationships/hyperlink" Target="http://ieeexplore.ieee.org/document/6691120/" TargetMode="External"/><Relationship Id="rId47" Type="http://schemas.openxmlformats.org/officeDocument/2006/relationships/hyperlink" Target="http://ieeexplore.ieee.org/document/6691120/" TargetMode="External"/><Relationship Id="rId48" Type="http://schemas.openxmlformats.org/officeDocument/2006/relationships/hyperlink" Target="https://www.umweltbundesamt.de/sites/default/files/medien/378/publikationen/texte_82_2013_janssen_informationstechnik_teil_c.pdf" TargetMode="External"/><Relationship Id="rId49" Type="http://schemas.openxmlformats.org/officeDocument/2006/relationships/hyperlink" Target="http://link.springer.com/10.1007/978-1-4419-9988-7" TargetMode="External"/><Relationship Id="rId50" Type="http://schemas.openxmlformats.org/officeDocument/2006/relationships/hyperlink" Target="https://doi.org/10.1016/j.segan.2020.100408" TargetMode="External"/><Relationship Id="rId51" Type="http://schemas.openxmlformats.org/officeDocument/2006/relationships/hyperlink" Target="https://doi.org/10.1016/j.segan.2020.100408" TargetMode="External"/><Relationship Id="rId52" Type="http://schemas.openxmlformats.org/officeDocument/2006/relationships/hyperlink" Target="https://doi.org/10.1016/j.segan.2020.100408" TargetMode="External"/><Relationship Id="rId53" Type="http://schemas.openxmlformats.org/officeDocument/2006/relationships/hyperlink" Target="https://doi.org/10.1016/j.segan.2020.100408" TargetMode="External"/><Relationship Id="rId54" Type="http://schemas.openxmlformats.org/officeDocument/2006/relationships/hyperlink" Target="https://doi.org/10.1016/j.segan.2020.100408" TargetMode="External"/><Relationship Id="rId55" Type="http://schemas.openxmlformats.org/officeDocument/2006/relationships/hyperlink" Target="https://doi.org/10.1016/j.segan.2020.100408" TargetMode="External"/><Relationship Id="rId56" Type="http://schemas.openxmlformats.org/officeDocument/2006/relationships/hyperlink" Target="https://doi.org/10.1016/j.segan.2020.100408" TargetMode="External"/><Relationship Id="rId57" Type="http://schemas.openxmlformats.org/officeDocument/2006/relationships/hyperlink" Target="https://doi.org/10.1016/j.segan.2020.100408" TargetMode="External"/><Relationship Id="rId58" Type="http://schemas.openxmlformats.org/officeDocument/2006/relationships/hyperlink" Target="https://doi.org/10.1016/j.segan.2020.100408" TargetMode="External"/><Relationship Id="rId59" Type="http://schemas.openxmlformats.org/officeDocument/2006/relationships/hyperlink" Target="https://doi.org/10.1016/j.segan.2020.100408" TargetMode="External"/><Relationship Id="rId60" Type="http://schemas.openxmlformats.org/officeDocument/2006/relationships/hyperlink" Target="https://doi.org/10.1016/j.segan.2020.100408" TargetMode="External"/><Relationship Id="rId61" Type="http://schemas.openxmlformats.org/officeDocument/2006/relationships/hyperlink" Target="https://doi.org/10.1016/j.segan.2020.100408" TargetMode="External"/><Relationship Id="rId62" Type="http://schemas.openxmlformats.org/officeDocument/2006/relationships/hyperlink" Target="https://doi.org/10.1016/j.segan.2020.100408" TargetMode="External"/><Relationship Id="rId63" Type="http://schemas.openxmlformats.org/officeDocument/2006/relationships/hyperlink" Target="https://doi.org/10.1016/j.segan.2020.100408" TargetMode="External"/><Relationship Id="rId64" Type="http://schemas.openxmlformats.org/officeDocument/2006/relationships/hyperlink" Target="https://doi.org/10.1016/j.segan.2020.100408" TargetMode="External"/><Relationship Id="rId65" Type="http://schemas.openxmlformats.org/officeDocument/2006/relationships/hyperlink" Target="http://www.atlantis-press.com/php/paper-details.php?id=25860375" TargetMode="External"/><Relationship Id="rId66" Type="http://schemas.openxmlformats.org/officeDocument/2006/relationships/hyperlink" Target="https://doi.org/10.1109/IGCC.2017.8323572" TargetMode="External"/><Relationship Id="rId67" Type="http://schemas.openxmlformats.org/officeDocument/2006/relationships/hyperlink" Target="https://doi.org/10.1109/IGCC.2017.8323572" TargetMode="External"/><Relationship Id="rId68" Type="http://schemas.openxmlformats.org/officeDocument/2006/relationships/hyperlink" Target="https://doi.org/10.1109/IGCC.2017.8323572" TargetMode="External"/><Relationship Id="rId69" Type="http://schemas.openxmlformats.org/officeDocument/2006/relationships/hyperlink" Target="https://doi.org/10.1109/IGCC.2017.8323572" TargetMode="External"/><Relationship Id="rId70" Type="http://schemas.openxmlformats.org/officeDocument/2006/relationships/hyperlink" Target="https://doi.org/10.1109/IGCC.2017.8323572" TargetMode="External"/><Relationship Id="rId71" Type="http://schemas.openxmlformats.org/officeDocument/2006/relationships/hyperlink" Target="https://doi.org/10.1109/IGCC.2017.8323572" TargetMode="External"/><Relationship Id="rId72" Type="http://schemas.openxmlformats.org/officeDocument/2006/relationships/hyperlink" Target="https://doi.org/10.1109/IGCC.2017.8323572" TargetMode="External"/><Relationship Id="rId73" Type="http://schemas.openxmlformats.org/officeDocument/2006/relationships/hyperlink" Target="https://citeseerx.ist.psu.edu/viewdoc/download?doi=10.1.1.118.6922&amp;rep=rep1&amp;type=pdf" TargetMode="External"/><Relationship Id="rId74" Type="http://schemas.openxmlformats.org/officeDocument/2006/relationships/hyperlink" Target="https://citeseerx.ist.psu.edu/viewdoc/download?doi=10.1.1.118.6922&amp;rep=rep1&amp;type=pdf" TargetMode="External"/><Relationship Id="rId75" Type="http://schemas.openxmlformats.org/officeDocument/2006/relationships/hyperlink" Target="https://citeseerx.ist.psu.edu/viewdoc/download?doi=10.1.1.118.6922&amp;rep=rep1&amp;type=pdf" TargetMode="External"/><Relationship Id="rId76" Type="http://schemas.openxmlformats.org/officeDocument/2006/relationships/hyperlink" Target="https://citeseerx.ist.psu.edu/viewdoc/download?doi=10.1.1.118.6922&amp;rep=rep1&amp;type=pdf" TargetMode="External"/><Relationship Id="rId77" Type="http://schemas.openxmlformats.org/officeDocument/2006/relationships/hyperlink" Target="https://citeseerx.ist.psu.edu/viewdoc/download?doi=10.1.1.118.6922&amp;rep=rep1&amp;type=pdf" TargetMode="External"/><Relationship Id="rId78" Type="http://schemas.openxmlformats.org/officeDocument/2006/relationships/hyperlink" Target="https://citeseerx.ist.psu.edu/viewdoc/download?doi=10.1.1.118.6922&amp;rep=rep1&amp;type=pdf" TargetMode="External"/><Relationship Id="rId79" Type="http://schemas.openxmlformats.org/officeDocument/2006/relationships/hyperlink" Target="https://citeseerx.ist.psu.edu/viewdoc/download?doi=10.1.1.118.6922&amp;rep=rep1&amp;type=pdf" TargetMode="External"/><Relationship Id="rId80" Type="http://schemas.openxmlformats.org/officeDocument/2006/relationships/hyperlink" Target="https://citeseerx.ist.psu.edu/viewdoc/download?doi=10.1.1.118.6922&amp;rep=rep1&amp;type=pdf" TargetMode="External"/><Relationship Id="rId81" Type="http://schemas.openxmlformats.org/officeDocument/2006/relationships/hyperlink" Target="https://citeseerx.ist.psu.edu/viewdoc/download?doi=10.1.1.118.6922&amp;rep=rep1&amp;type=pdf" TargetMode="External"/><Relationship Id="rId82" Type="http://schemas.openxmlformats.org/officeDocument/2006/relationships/hyperlink" Target="https://citeseerx.ist.psu.edu/viewdoc/download?doi=10.1.1.118.6922&amp;rep=rep1&amp;type=pdf" TargetMode="External"/><Relationship Id="rId83" Type="http://schemas.openxmlformats.org/officeDocument/2006/relationships/hyperlink" Target="https://citeseerx.ist.psu.edu/viewdoc/download?doi=10.1.1.118.6922&amp;rep=rep1&amp;type=pdf" TargetMode="External"/><Relationship Id="rId84" Type="http://schemas.openxmlformats.org/officeDocument/2006/relationships/hyperlink" Target="https://citeseerx.ist.psu.edu/viewdoc/download?doi=10.1.1.118.6922&amp;rep=rep1&amp;type=pdf" TargetMode="External"/><Relationship Id="rId85" Type="http://schemas.openxmlformats.org/officeDocument/2006/relationships/hyperlink" Target="https://citeseerx.ist.psu.edu/viewdoc/download?doi=10.1.1.118.6922&amp;rep=rep1&amp;type=pdf" TargetMode="External"/><Relationship Id="rId86" Type="http://schemas.openxmlformats.org/officeDocument/2006/relationships/hyperlink" Target="https://citeseerx.ist.psu.edu/viewdoc/download?doi=10.1.1.118.6922&amp;rep=rep1&amp;type=pdf" TargetMode="External"/><Relationship Id="rId87" Type="http://schemas.openxmlformats.org/officeDocument/2006/relationships/hyperlink" Target="https://citeseerx.ist.psu.edu/viewdoc/download?doi=10.1.1.118.6922&amp;rep=rep1&amp;type=pdf" TargetMode="External"/><Relationship Id="rId88" Type="http://schemas.openxmlformats.org/officeDocument/2006/relationships/hyperlink" Target="https://citeseerx.ist.psu.edu/viewdoc/download?doi=10.1.1.118.6922&amp;rep=rep1&amp;type=pdf" TargetMode="External"/><Relationship Id="rId89" Type="http://schemas.openxmlformats.org/officeDocument/2006/relationships/hyperlink" Target="https://citeseerx.ist.psu.edu/viewdoc/download?doi=10.1.1.118.6922&amp;rep=rep1&amp;type=pdf" TargetMode="External"/><Relationship Id="rId90" Type="http://schemas.openxmlformats.org/officeDocument/2006/relationships/hyperlink" Target="https://citeseerx.ist.psu.edu/viewdoc/download?doi=10.1.1.118.6922&amp;rep=rep1&amp;type=pdf" TargetMode="External"/><Relationship Id="rId91" Type="http://schemas.openxmlformats.org/officeDocument/2006/relationships/hyperlink" Target="https://citeseerx.ist.psu.edu/viewdoc/download?doi=10.1.1.118.6922&amp;rep=rep1&amp;type=pdf" TargetMode="External"/><Relationship Id="rId92" Type="http://schemas.openxmlformats.org/officeDocument/2006/relationships/hyperlink" Target="https://citeseerx.ist.psu.edu/viewdoc/download?doi=10.1.1.118.6922&amp;rep=rep1&amp;type=pdf" TargetMode="External"/><Relationship Id="rId93" Type="http://schemas.openxmlformats.org/officeDocument/2006/relationships/hyperlink" Target="https://citeseerx.ist.psu.edu/viewdoc/download?doi=10.1.1.118.6922&amp;rep=rep1&amp;type=pdf" TargetMode="External"/><Relationship Id="rId94" Type="http://schemas.openxmlformats.org/officeDocument/2006/relationships/hyperlink" Target="https://citeseerx.ist.psu.edu/viewdoc/download?doi=10.1.1.118.6922&amp;rep=rep1&amp;type=pdf" TargetMode="External"/><Relationship Id="rId95" Type="http://schemas.openxmlformats.org/officeDocument/2006/relationships/hyperlink" Target="https://citeseerx.ist.psu.edu/viewdoc/download?doi=10.1.1.118.6922&amp;rep=rep1&amp;type=pdf" TargetMode="External"/><Relationship Id="rId96" Type="http://schemas.openxmlformats.org/officeDocument/2006/relationships/hyperlink" Target="https://citeseerx.ist.psu.edu/viewdoc/download?doi=10.1.1.118.6922&amp;rep=rep1&amp;type=pdf" TargetMode="External"/><Relationship Id="rId97" Type="http://schemas.openxmlformats.org/officeDocument/2006/relationships/hyperlink" Target="https://citeseerx.ist.psu.edu/viewdoc/download?doi=10.1.1.118.6922&amp;rep=rep1&amp;type=pdf" TargetMode="External"/><Relationship Id="rId98" Type="http://schemas.openxmlformats.org/officeDocument/2006/relationships/hyperlink" Target="https://citeseerx.ist.psu.edu/viewdoc/download?doi=10.1.1.118.6922&amp;rep=rep1&amp;type=pdf" TargetMode="External"/><Relationship Id="rId99" Type="http://schemas.openxmlformats.org/officeDocument/2006/relationships/hyperlink" Target="https://citeseerx.ist.psu.edu/viewdoc/download?doi=10.1.1.118.6922&amp;rep=rep1&amp;type=pdf" TargetMode="External"/><Relationship Id="rId100" Type="http://schemas.openxmlformats.org/officeDocument/2006/relationships/hyperlink" Target="https://citeseerx.ist.psu.edu/viewdoc/download?doi=10.1.1.118.6922&amp;rep=rep1&amp;type=pdf" TargetMode="External"/><Relationship Id="rId101" Type="http://schemas.openxmlformats.org/officeDocument/2006/relationships/hyperlink" Target="https://citeseerx.ist.psu.edu/viewdoc/download?doi=10.1.1.118.6922&amp;rep=rep1&amp;type=pdf" TargetMode="External"/><Relationship Id="rId102" Type="http://schemas.openxmlformats.org/officeDocument/2006/relationships/hyperlink" Target="https://download.atlantis-press.com/article/25860375.pdf" TargetMode="External"/><Relationship Id="rId103" Type="http://schemas.openxmlformats.org/officeDocument/2006/relationships/hyperlink" Target="https://download.atlantis-press.com/article/25860375.pdf" TargetMode="External"/><Relationship Id="rId104" Type="http://schemas.openxmlformats.org/officeDocument/2006/relationships/hyperlink" Target="https://download.atlantis-press.com/article/25860375.pdf" TargetMode="External"/><Relationship Id="rId105" Type="http://schemas.openxmlformats.org/officeDocument/2006/relationships/hyperlink" Target="https://doi.org/10.1016/j.jclepro.2011.03.004" TargetMode="External"/><Relationship Id="rId106" Type="http://schemas.openxmlformats.org/officeDocument/2006/relationships/hyperlink" Target="https://doi.org/10.1016/j.jclepro.2011.03.004" TargetMode="External"/><Relationship Id="rId107" Type="http://schemas.openxmlformats.org/officeDocument/2006/relationships/hyperlink" Target="https://doi.org/10.1016/j.jclepro.2011.03.004" TargetMode="External"/><Relationship Id="rId108" Type="http://schemas.openxmlformats.org/officeDocument/2006/relationships/hyperlink" Target="https://doi.org/10.1016/j.jclepro.2011.03.004" TargetMode="External"/><Relationship Id="rId109" Type="http://schemas.openxmlformats.org/officeDocument/2006/relationships/hyperlink" Target="https://doi.org/10.1021/es025643o" TargetMode="External"/><Relationship Id="rId110" Type="http://schemas.openxmlformats.org/officeDocument/2006/relationships/hyperlink" Target="https://doi.org/10.1021/es025643o" TargetMode="External"/><Relationship Id="rId111" Type="http://schemas.openxmlformats.org/officeDocument/2006/relationships/hyperlink" Target="https://doi.org/10.1021/es025643o" TargetMode="External"/><Relationship Id="rId112" Type="http://schemas.openxmlformats.org/officeDocument/2006/relationships/hyperlink" Target="https://doi.org/10.1021/es025643o" TargetMode="External"/><Relationship Id="rId113" Type="http://schemas.openxmlformats.org/officeDocument/2006/relationships/hyperlink" Target="https://pubs.acs.org/doi/abs/10.1021/es071174k" TargetMode="External"/><Relationship Id="rId114" Type="http://schemas.openxmlformats.org/officeDocument/2006/relationships/hyperlink" Target="https://doi.org/10.1109/ISEE.2008.4562888" TargetMode="External"/><Relationship Id="rId115" Type="http://schemas.openxmlformats.org/officeDocument/2006/relationships/hyperlink" Target="https://doi.org/10.1109/ISEE.2008.4562888" TargetMode="External"/><Relationship Id="rId116" Type="http://schemas.openxmlformats.org/officeDocument/2006/relationships/hyperlink" Target="https://doi.org/10.1109/ISEE.2008.4562888" TargetMode="External"/><Relationship Id="rId117" Type="http://schemas.openxmlformats.org/officeDocument/2006/relationships/hyperlink" Target="https://doi.org/10.1109/ISEE.2008.4562888" TargetMode="External"/><Relationship Id="rId118" Type="http://schemas.openxmlformats.org/officeDocument/2006/relationships/hyperlink" Target="https://doi.org/10.1109/ISEE.2008.4562888" TargetMode="External"/><Relationship Id="rId119" Type="http://schemas.openxmlformats.org/officeDocument/2006/relationships/hyperlink" Target="https://doi.org/10.1109/ISEE.2008.4562888" TargetMode="External"/><Relationship Id="rId120" Type="http://schemas.openxmlformats.org/officeDocument/2006/relationships/hyperlink" Target="https://doi.org/10.1109/ISEE.2008.4562888" TargetMode="External"/><Relationship Id="rId121" Type="http://schemas.openxmlformats.org/officeDocument/2006/relationships/hyperlink" Target="https://doi.org/10.1109/ISEE.2008.4562888" TargetMode="External"/><Relationship Id="rId122" Type="http://schemas.openxmlformats.org/officeDocument/2006/relationships/hyperlink" Target="https://doi.org/10.1109/ISEE.2008.4562888" TargetMode="External"/><Relationship Id="rId123" Type="http://schemas.openxmlformats.org/officeDocument/2006/relationships/hyperlink" Target="https://doi.org/10.1109/ISEE.2008.4562888" TargetMode="External"/><Relationship Id="rId124" Type="http://schemas.openxmlformats.org/officeDocument/2006/relationships/hyperlink" Target="https://doi.org/10.1109/ISEE.2008.4562888" TargetMode="External"/><Relationship Id="rId125" Type="http://schemas.openxmlformats.org/officeDocument/2006/relationships/hyperlink" Target="https://doi.org/10.1109/ISEE.2008.4562888" TargetMode="External"/><Relationship Id="rId126" Type="http://schemas.openxmlformats.org/officeDocument/2006/relationships/hyperlink" Target="https://doi.org/10.1109/ISEE.2008.4562888" TargetMode="External"/><Relationship Id="rId127" Type="http://schemas.openxmlformats.org/officeDocument/2006/relationships/hyperlink" Target="https://doi.org/10.1109/ISEE.2008.4562888" TargetMode="External"/><Relationship Id="rId128" Type="http://schemas.openxmlformats.org/officeDocument/2006/relationships/hyperlink" Target="https://doi.org/10.1109/ISEE.2008.4562888" TargetMode="External"/><Relationship Id="rId129" Type="http://schemas.openxmlformats.org/officeDocument/2006/relationships/hyperlink" Target="https://doi.org/10.1109/ISEE.2008.4562888" TargetMode="External"/><Relationship Id="rId130" Type="http://schemas.openxmlformats.org/officeDocument/2006/relationships/hyperlink" Target="https://doi.org/10.1109/ISEE.2008.4562888" TargetMode="External"/><Relationship Id="rId131" Type="http://schemas.openxmlformats.org/officeDocument/2006/relationships/hyperlink" Target="https://doi.org/10.1109/ISEE.2008.4562888" TargetMode="External"/><Relationship Id="rId132" Type="http://schemas.openxmlformats.org/officeDocument/2006/relationships/hyperlink" Target="https://doi.org/10.1109/ISEE.2008.4562888" TargetMode="External"/><Relationship Id="rId133" Type="http://schemas.openxmlformats.org/officeDocument/2006/relationships/hyperlink" Target="https://doi.org/10.1109/ISEE.2008.4562888" TargetMode="External"/><Relationship Id="rId134" Type="http://schemas.openxmlformats.org/officeDocument/2006/relationships/hyperlink" Target="https://doi.org/10.1016/S0360-5442(03)00008-2" TargetMode="External"/><Relationship Id="rId135" Type="http://schemas.openxmlformats.org/officeDocument/2006/relationships/hyperlink" Target="https://doi.org/10.1016/S0360-5442(03)00008-2" TargetMode="External"/><Relationship Id="rId136" Type="http://schemas.openxmlformats.org/officeDocument/2006/relationships/hyperlink" Target="https://doi.org/10.1016/S0360-5442(03)00008-2" TargetMode="External"/><Relationship Id="rId137" Type="http://schemas.openxmlformats.org/officeDocument/2006/relationships/hyperlink" Target="https://doi.org/10.1016/S0360-5442(03)00008-2" TargetMode="External"/><Relationship Id="rId138" Type="http://schemas.openxmlformats.org/officeDocument/2006/relationships/hyperlink" Target="https://doi.org/10.1016/S0360-5442(03)00008-2" TargetMode="External"/><Relationship Id="rId139" Type="http://schemas.openxmlformats.org/officeDocument/2006/relationships/hyperlink" Target="https://doi.org/10.1016/S0360-5442(03)00008-2" TargetMode="External"/><Relationship Id="rId140" Type="http://schemas.openxmlformats.org/officeDocument/2006/relationships/hyperlink" Target="https://doi.org/10.1016/S0360-5442(03)00008-2" TargetMode="External"/><Relationship Id="rId141" Type="http://schemas.openxmlformats.org/officeDocument/2006/relationships/hyperlink" Target="https://doi.org/10.1016/S0360-5442(03)00008-2" TargetMode="External"/><Relationship Id="rId142" Type="http://schemas.openxmlformats.org/officeDocument/2006/relationships/hyperlink" Target="http://hdl.handle.net/1721.1/46056" TargetMode="External"/><Relationship Id="rId143" Type="http://schemas.openxmlformats.org/officeDocument/2006/relationships/hyperlink" Target="http://hdl.handle.net/1721.1/46056" TargetMode="External"/><Relationship Id="rId144" Type="http://schemas.openxmlformats.org/officeDocument/2006/relationships/hyperlink" Target="http://hdl.handle.net/1721.1/46056" TargetMode="External"/><Relationship Id="rId145" Type="http://schemas.openxmlformats.org/officeDocument/2006/relationships/hyperlink" Target="http://hdl.handle.net/1721.1/46056" TargetMode="External"/><Relationship Id="rId146" Type="http://schemas.openxmlformats.org/officeDocument/2006/relationships/hyperlink" Target="http://hdl.handle.net/1721.1/46056" TargetMode="External"/><Relationship Id="rId147" Type="http://schemas.openxmlformats.org/officeDocument/2006/relationships/hyperlink" Target="http://hdl.handle.net/1721.1/46056" TargetMode="External"/><Relationship Id="rId148" Type="http://schemas.openxmlformats.org/officeDocument/2006/relationships/hyperlink" Target="http://hdl.handle.net/1721.1/46056" TargetMode="External"/><Relationship Id="rId149" Type="http://schemas.openxmlformats.org/officeDocument/2006/relationships/hyperlink" Target="https://doi.org/10.1021/es034434g" TargetMode="External"/><Relationship Id="rId150" Type="http://schemas.openxmlformats.org/officeDocument/2006/relationships/hyperlink" Target="https://doi.org/10.1021/es034434g" TargetMode="External"/><Relationship Id="rId151" Type="http://schemas.openxmlformats.org/officeDocument/2006/relationships/hyperlink" Target="https://doi.org/10.1021/es903297k" TargetMode="External"/><Relationship Id="rId152" Type="http://schemas.openxmlformats.org/officeDocument/2006/relationships/hyperlink" Target="https://doi.org/10.1021/es903297k" TargetMode="External"/><Relationship Id="rId153" Type="http://schemas.openxmlformats.org/officeDocument/2006/relationships/hyperlink" Target="https://doi.org/10.1021/es903297k" TargetMode="External"/><Relationship Id="rId154" Type="http://schemas.openxmlformats.org/officeDocument/2006/relationships/hyperlink" Target="https://doi.org/10.1021/es903297k" TargetMode="External"/><Relationship Id="rId155" Type="http://schemas.openxmlformats.org/officeDocument/2006/relationships/hyperlink" Target="https://doi.org/10.1021/es903297k" TargetMode="External"/><Relationship Id="rId156" Type="http://schemas.openxmlformats.org/officeDocument/2006/relationships/hyperlink" Target="https://doi.org/10.1021/es903297k" TargetMode="External"/><Relationship Id="rId157" Type="http://schemas.openxmlformats.org/officeDocument/2006/relationships/hyperlink" Target="https://doi.org/10.1021/es903297k" TargetMode="External"/><Relationship Id="rId158" Type="http://schemas.openxmlformats.org/officeDocument/2006/relationships/hyperlink" Target="https://doi.org/10.1021/es903297k" TargetMode="External"/><Relationship Id="rId159"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160"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161" Type="http://schemas.openxmlformats.org/officeDocument/2006/relationships/hyperlink" Target="https://www.umc.com/upload/media/07_Sustainability/72_Reports_and_Results/1_Corporate_Sustainability_Reports/CSR_Reports/CS_Report_English_pdf/2018_CSR_report_eng_all.pdf" TargetMode="External"/><Relationship Id="rId162" Type="http://schemas.openxmlformats.org/officeDocument/2006/relationships/hyperlink" Target="https://www.umc.com/upload/media/07_Sustainability/72_Reports_and_Results/1_Corporate_Sustainability_Reports/CSR_Reports/CS_Report_English_pdf/2017_CSR_report_eng_all.pdf" TargetMode="External"/><Relationship Id="rId163" Type="http://schemas.openxmlformats.org/officeDocument/2006/relationships/hyperlink" Target="https://www.umc.com/upload/media/07_Sustainability/72_Reports_and_Results/1_Corporate_Sustainability_Reports/CSR_Reports/CS_Report_English_pdf/2016_CSR_report_eng_all.pdf" TargetMode="External"/><Relationship Id="rId164" Type="http://schemas.openxmlformats.org/officeDocument/2006/relationships/hyperlink" Target="https://www.umc.com/upload/media/07_Sustainability/72_Reports_and_Results/1_Corporate_Sustainability_Reports/CSR_Reports/CS_Report_English_pdf/2015_CSR_report_eng_all.pdf" TargetMode="External"/><Relationship Id="rId165" Type="http://schemas.openxmlformats.org/officeDocument/2006/relationships/hyperlink" Target="https://www.umc.com/upload/media/07_Sustainability/72_Reports_and_Results/1_Corporate_Sustainability_Reports/CSR_Reports/CS_Report_English_pdf/2014_CSR_report_eng_all.pdf" TargetMode="External"/><Relationship Id="rId166" Type="http://schemas.openxmlformats.org/officeDocument/2006/relationships/hyperlink" Target="https://www.umc.com/upload/media/07_Sustainability/72_Reports_and_Results/1_Corporate_Sustainability_Reports/CSR_Reports/CS_Report_English_pdf/2014_CSR_report_eng_all.pdf" TargetMode="External"/><Relationship Id="rId167" Type="http://schemas.openxmlformats.org/officeDocument/2006/relationships/hyperlink" Target="https://www.umc.com/upload/media/07_Sustainability/72_Reports_and_Results/1_Corporate_Sustainability_Reports/CSR_Reports/CS_Report_English_pdf/2014_CSR_report_eng_all.pdf" TargetMode="External"/><Relationship Id="rId168" Type="http://schemas.openxmlformats.org/officeDocument/2006/relationships/hyperlink" Target="https://www.umc.com/upload/media/07_Sustainability/72_Reports_and_Results/1_Corporate_Sustainability_Reports/CSR_Reports/CS_Report_English_pdf/2014_CSR_report_eng_all.pdf" TargetMode="External"/><Relationship Id="rId169" Type="http://schemas.openxmlformats.org/officeDocument/2006/relationships/hyperlink" Target="https://esg.tsmc.com/download/csr/2019-csr-report/english/pdf/e-all.pdf" TargetMode="External"/><Relationship Id="rId170" Type="http://schemas.openxmlformats.org/officeDocument/2006/relationships/hyperlink" Target="https://esg.tsmc.com/download/csr/2019-csr-report/english/pdf/e-all.pdf" TargetMode="External"/><Relationship Id="rId171" Type="http://schemas.openxmlformats.org/officeDocument/2006/relationships/hyperlink" Target="https://csr.tsmc.com/download/csr/2018_tsmc_csr_report_published_May_2019/english/pdf/e_all.pdf" TargetMode="External"/><Relationship Id="rId172" Type="http://schemas.openxmlformats.org/officeDocument/2006/relationships/hyperlink" Target="https://csr.tsmc.com/download/csr/2018_tsmc_csr/english/pdf/e_all.pdf" TargetMode="External"/><Relationship Id="rId173" Type="http://schemas.openxmlformats.org/officeDocument/2006/relationships/hyperlink" Target="https://csr.tsmc.com/download/csr/2017_tsmc_csr/english/pdf/e_all.pdf" TargetMode="External"/><Relationship Id="rId174" Type="http://schemas.openxmlformats.org/officeDocument/2006/relationships/hyperlink" Target="https://csr.tsmc.com/download/csr/2016_tsmc_csr/english/index.html" TargetMode="External"/><Relationship Id="rId175" Type="http://schemas.openxmlformats.org/officeDocument/2006/relationships/hyperlink" Target="https://csr.tsmc.com/download/csr/2015_tsmc_csr/english/index.html" TargetMode="External"/><Relationship Id="rId176" Type="http://schemas.openxmlformats.org/officeDocument/2006/relationships/hyperlink" Target="https://csr.tsmc.com/download/csr/2014_tsmc_csr/english/index.html" TargetMode="External"/><Relationship Id="rId177" Type="http://schemas.openxmlformats.org/officeDocument/2006/relationships/hyperlink" Target="https://csr.tsmc.com/download/csr/2013_tsmc_csr/english/index.html" TargetMode="External"/><Relationship Id="rId178" Type="http://schemas.openxmlformats.org/officeDocument/2006/relationships/hyperlink" Target="https://csr.tsmc.com/download/csr/2012_tsmc_csr/tsmc-e.html" TargetMode="External"/><Relationship Id="rId179" Type="http://schemas.openxmlformats.org/officeDocument/2006/relationships/hyperlink" Target="https://csr.tsmc.com/download/csr/2011_tsmc_csr_e/tsmc-e.html" TargetMode="External"/><Relationship Id="rId180"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181"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182" Type="http://schemas.openxmlformats.org/officeDocument/2006/relationships/hyperlink" Target="https://www.st.com/content/ccc/resource/corporate/financial/quarterly_report/group0/ed/d9/47/32/a4/d6/42/01/ST_Sustainability_Report_2019/files/ST_Sustainability_Report_2019.pdf/jcr:content/translations/en.ST_Sustainability_Report_2019.pdf" TargetMode="External"/><Relationship Id="rId183" Type="http://schemas.openxmlformats.org/officeDocument/2006/relationships/hyperlink" Target="https://www.st.com/content/ccc/resource/corporate/financial/quarterly_report/group0/66/45/58/d7/6a/4e/49/98/ST_Sustainability_Report_2018/files/ST_Sustainability_Report_2018.pdf/_jcr_content/translations/en.ST_Sustainability_Report_2018.pdf" TargetMode="External"/><Relationship Id="rId184" Type="http://schemas.openxmlformats.org/officeDocument/2006/relationships/hyperlink" Target="https://www.st.com/content/ccc/resource/corporate/financial/quarterly_report/group0/8b/57/65/59/08/d7/48/fc/ST_Sustainability_Report_2017/files/ST_Sustainability_Report_2017.pdf/_jcr_content/translations/en.ST_Sustainability_Report_2017.pdf" TargetMode="External"/><Relationship Id="rId185" Type="http://schemas.openxmlformats.org/officeDocument/2006/relationships/hyperlink" Target="https://www.st.com/content/ccc/resource/corporate/financial/quarterly_report/group0/8b/a2/52/e4/63/84/47/27/Sustainability%20Report%202015/files/cr15.pdf/_jcr_content/translations/en.cr15.pdf" TargetMode="External"/><Relationship Id="rId186" Type="http://schemas.openxmlformats.org/officeDocument/2006/relationships/hyperlink" Target="https://www.st.com/content/ccc/resource/corporate/financial/quarterly_report/10/d8/a7/80/66/69/47/c4/ST_sustainability_report_2014.pdf/files/ST_sustainability_report_2014.pdf/_jcr_content/translations/en.ST_sustainability_report_2014.pdf" TargetMode="External"/><Relationship Id="rId187" Type="http://schemas.openxmlformats.org/officeDocument/2006/relationships/hyperlink" Target="https://www.st.com/content/ccc/resource/corporate/financial/quarterly_report/b9/93/95/97/e7/4b/4a/c9/ST_sustainability_report_2013.pdf/files/ST_sustainability_report_2013.pdf/_jcr_content/translations/en.ST_sustainability_report_2013.pdf" TargetMode="External"/><Relationship Id="rId188" Type="http://schemas.openxmlformats.org/officeDocument/2006/relationships/hyperlink" Target="https://www.st.com/content/ccc/resource/corporate/financial/quarterly_report/cb/63/3a/fd/90/ae/4b/46/cr12.pdf/files/cr12.pdf/_jcr_content/translations/en.cr12.pdf" TargetMode="External"/><Relationship Id="rId189" Type="http://schemas.openxmlformats.org/officeDocument/2006/relationships/hyperlink" Target="https://www.st.com/content/ccc/resource/corporate/financial/quarterly_report/a4/bb/ea/fb/e6/8a/46/0f/cr11.pdf/files/cr11.pdf/_jcr_content/translations/en.cr11.pdf" TargetMode="External"/><Relationship Id="rId190" Type="http://schemas.openxmlformats.org/officeDocument/2006/relationships/hyperlink" Target="https://www.smics.com/uploads/1_&amp;e4&amp;b8&amp;ad&amp;e8&amp;8a&amp;af&amp;e5&amp;9b&amp;bd&amp;e9&amp;99&amp;85&amp;e7&amp;a4&amp;be&amp;e4&amp;bc&amp;9a&amp;e8&amp;b4&amp;a3&amp;e4&amp;bb&amp;bb&amp;e6&amp;8a&amp;a5&amp;e5&amp;91&amp;8a-&amp;e8&amp;8b&amp;b1&amp;e6&amp;96&amp;87&amp;e6&amp;8c&amp;82&amp;e7&amp;bd&amp;91&amp;e7&amp;89&amp;887.26-5.pdf" TargetMode="External"/><Relationship Id="rId191" Type="http://schemas.openxmlformats.org/officeDocument/2006/relationships/hyperlink" Target="https://www.smics.com/uploads/2019%20SMIC%20CSR%20Report%20Final-&amp;e8&amp;8b&amp;b1&amp;e6&amp;96&amp;87.pdf" TargetMode="External"/><Relationship Id="rId192" Type="http://schemas.openxmlformats.org/officeDocument/2006/relationships/hyperlink" Target="https://www.smics.com/uploads/2018%20CSR%20Report-EN.pdf" TargetMode="External"/><Relationship Id="rId193" Type="http://schemas.openxmlformats.org/officeDocument/2006/relationships/hyperlink" Target="https://www.smics.com/uploads/2017%20SMIC%20CSR%20Report%20_EN.pdf" TargetMode="External"/><Relationship Id="rId194" Type="http://schemas.openxmlformats.org/officeDocument/2006/relationships/hyperlink" Target="https://www.smics.com/uploads/2016_SMIC_CSR_Report.pdf" TargetMode="External"/><Relationship Id="rId195" Type="http://schemas.openxmlformats.org/officeDocument/2006/relationships/hyperlink" Target="https://www.smics.com/uploads/2015_SMIC_CSR_Report.pdf" TargetMode="External"/><Relationship Id="rId196" Type="http://schemas.openxmlformats.org/officeDocument/2006/relationships/hyperlink" Target="https://www.smics.com/uploads/2014_SMIC_CSR_Report.pdf" TargetMode="External"/><Relationship Id="rId197" Type="http://schemas.openxmlformats.org/officeDocument/2006/relationships/hyperlink" Target="https://www.smics.com/uploads/2013_SMIC_CSR_Report.pdf" TargetMode="External"/><Relationship Id="rId198" Type="http://schemas.openxmlformats.org/officeDocument/2006/relationships/hyperlink" Target="https://www.smics.com/uploads/2011-2012_SMIC_CSR_Report.pdf" TargetMode="External"/><Relationship Id="rId199" Type="http://schemas.openxmlformats.org/officeDocument/2006/relationships/hyperlink" Target="https://www.smics.com/uploads/2011-2012_SMIC_CSR_Report.pdf" TargetMode="External"/><Relationship Id="rId200" Type="http://schemas.openxmlformats.org/officeDocument/2006/relationships/hyperlink" Target="https://www.globalfoundries.com/sites/default/files/2021-01/gf_2020_csr_report.pdf" TargetMode="External"/><Relationship Id="rId201" Type="http://schemas.openxmlformats.org/officeDocument/2006/relationships/hyperlink" Target="https://gf.com/sites/default/files/gf_crr19_0808_final_2.pdf" TargetMode="External"/><Relationship Id="rId202" Type="http://schemas.openxmlformats.org/officeDocument/2006/relationships/hyperlink" Target="https://gf.com/sites/default/files/gf_crr18_1219a.pdf" TargetMode="External"/><Relationship Id="rId203" Type="http://schemas.openxmlformats.org/officeDocument/2006/relationships/hyperlink" Target="https://gf.com/sites/default/files/globalfoundries-2017-csr-report-final.pdf" TargetMode="External"/><Relationship Id="rId204" Type="http://schemas.openxmlformats.org/officeDocument/2006/relationships/hyperlink" Target="https://gf.com/sites/default/files/gf-2016-csr-report-12-21-16.pdf" TargetMode="External"/><Relationship Id="rId205" Type="http://schemas.openxmlformats.org/officeDocument/2006/relationships/hyperlink" Target="https://gf.com/sites/default/files/gf-2016-csr-report-12-21-16.pdf" TargetMode="External"/><Relationship Id="rId206" Type="http://schemas.openxmlformats.org/officeDocument/2006/relationships/hyperlink" Target="https://gf.com/sites/default/files/globalfoundries-corporate-responsibility-report-9-23-final.pdf" TargetMode="External"/><Relationship Id="rId207" Type="http://schemas.openxmlformats.org/officeDocument/2006/relationships/hyperlink" Target="https://gf.com/sites/default/files/globalfoundries-corporate-responsibility-report-9-23-final.pdf" TargetMode="External"/><Relationship Id="rId208" Type="http://schemas.openxmlformats.org/officeDocument/2006/relationships/hyperlink" Target="https://gf.com/sites/default/files/2012-corporate-responsibility-report.pdf" TargetMode="External"/><Relationship Id="rId209" Type="http://schemas.openxmlformats.org/officeDocument/2006/relationships/hyperlink" Target="https://gf.com/sites/default/files/2012-corporate-responsibility-report.pdf" TargetMode="External"/><Relationship Id="rId210" Type="http://schemas.openxmlformats.org/officeDocument/2006/relationships/hyperlink" Target="https://eps.ieee.org/images/files/Roadmap/ITRSESH2015.pdf" TargetMode="External"/><Relationship Id="rId211" Type="http://schemas.openxmlformats.org/officeDocument/2006/relationships/hyperlink" Target="https://eps.ieee.org/images/files/Roadmap/ITRSESH2015.pdf" TargetMode="External"/><Relationship Id="rId212" Type="http://schemas.openxmlformats.org/officeDocument/2006/relationships/hyperlink" Target="https://eps.ieee.org/images/files/Roadmap/ITRSESH2015.pdf" TargetMode="External"/><Relationship Id="rId213" Type="http://schemas.openxmlformats.org/officeDocument/2006/relationships/hyperlink" Target="https://eps.ieee.org/images/files/Roadmap/ITRSESH2015.pdf" TargetMode="External"/><Relationship Id="rId214" Type="http://schemas.openxmlformats.org/officeDocument/2006/relationships/hyperlink" Target="https://eps.ieee.org/images/files/Roadmap/ITRSESH2015.pdf" TargetMode="External"/><Relationship Id="rId215" Type="http://schemas.openxmlformats.org/officeDocument/2006/relationships/hyperlink" Target="https://eps.ieee.org/images/files/Roadmap/ITRSESH2015.pdf" TargetMode="External"/><Relationship Id="rId216" Type="http://schemas.openxmlformats.org/officeDocument/2006/relationships/hyperlink" Target="https://eps.ieee.org/images/files/Roadmap/ITRSESH2015.pdf" TargetMode="External"/><Relationship Id="rId217" Type="http://schemas.openxmlformats.org/officeDocument/2006/relationships/hyperlink" Target="https://eps.ieee.org/images/files/Roadmap/ITRSESH2015.pdf" TargetMode="External"/><Relationship Id="rId218" Type="http://schemas.openxmlformats.org/officeDocument/2006/relationships/hyperlink" Target="https://eps.ieee.org/images/files/Roadmap/ITRSESH2015.pdf" TargetMode="External"/><Relationship Id="rId219" Type="http://schemas.openxmlformats.org/officeDocument/2006/relationships/hyperlink" Target="https://eps.ieee.org/images/files/Roadmap/ITRSESH2015.pdf" TargetMode="External"/><Relationship Id="rId220" Type="http://schemas.openxmlformats.org/officeDocument/2006/relationships/hyperlink" Target="https://eps.ieee.org/images/files/Roadmap/ITRSESH2015.pdf" TargetMode="External"/><Relationship Id="rId221" Type="http://schemas.openxmlformats.org/officeDocument/2006/relationships/hyperlink" Target="https://eps.ieee.org/images/files/Roadmap/ITRSESH2015.pdf" TargetMode="External"/><Relationship Id="rId222" Type="http://schemas.openxmlformats.org/officeDocument/2006/relationships/hyperlink" Target="https://eps.ieee.org/images/files/Roadmap/ITRSESH2015.pdf" TargetMode="External"/><Relationship Id="rId223" Type="http://schemas.openxmlformats.org/officeDocument/2006/relationships/hyperlink" Target="https://eps.ieee.org/images/files/Roadmap/ITRSESH2015.pdf" TargetMode="External"/><Relationship Id="rId224" Type="http://schemas.openxmlformats.org/officeDocument/2006/relationships/hyperlink" Target="https://gabi.sphera.com/international/databases/gabi-databases/electronics/" TargetMode="External"/><Relationship Id="rId225" Type="http://schemas.openxmlformats.org/officeDocument/2006/relationships/hyperlink" Target="https://gabi.sphera.com/international/databases/gabi-databases/electronics/" TargetMode="External"/><Relationship Id="rId226" Type="http://schemas.openxmlformats.org/officeDocument/2006/relationships/hyperlink" Target="https://gabi.sphera.com/international/databases/gabi-databases/electronics/" TargetMode="External"/><Relationship Id="rId227" Type="http://schemas.openxmlformats.org/officeDocument/2006/relationships/hyperlink" Target="https://gabi.sphera.com/international/databases/gabi-databases/electronics/" TargetMode="External"/><Relationship Id="rId228" Type="http://schemas.openxmlformats.org/officeDocument/2006/relationships/hyperlink" Target="https://gabi.sphera.com/international/databases/gabi-databases/electronics/" TargetMode="External"/><Relationship Id="rId229" Type="http://schemas.openxmlformats.org/officeDocument/2006/relationships/hyperlink" Target="https://gabi.sphera.com/international/databases/gabi-databases/electronics/" TargetMode="External"/><Relationship Id="rId230" Type="http://schemas.openxmlformats.org/officeDocument/2006/relationships/hyperlink" Target="https://gabi.sphera.com/international/databases/gabi-databases/electronics/" TargetMode="External"/><Relationship Id="rId231" Type="http://schemas.openxmlformats.org/officeDocument/2006/relationships/hyperlink" Target="https://gabi.sphera.com/international/databases/gabi-databases/electronics/" TargetMode="External"/><Relationship Id="rId232" Type="http://schemas.openxmlformats.org/officeDocument/2006/relationships/hyperlink" Target="https://gabi.sphera.com/international/databases/gabi-databases/electronics/" TargetMode="External"/><Relationship Id="rId233" Type="http://schemas.openxmlformats.org/officeDocument/2006/relationships/hyperlink" Target="https://gabi.sphera.com/international/databases/gabi-databases/electronics/" TargetMode="External"/><Relationship Id="rId234" Type="http://schemas.openxmlformats.org/officeDocument/2006/relationships/hyperlink" Target="https://gabi.sphera.com/international/databases/gabi-databases/electronics/" TargetMode="External"/><Relationship Id="rId235" Type="http://schemas.openxmlformats.org/officeDocument/2006/relationships/hyperlink" Target="https://gabi.sphera.com/international/databases/gabi-databases/electronics/" TargetMode="External"/>
</Relationships>
</file>

<file path=xl/worksheets/_rels/sheet30.xml.rels><?xml version="1.0" encoding="UTF-8"?>
<Relationships xmlns="http://schemas.openxmlformats.org/package/2006/relationships"><Relationship Id="rId1" Type="http://schemas.openxmlformats.org/officeDocument/2006/relationships/hyperlink" Target="https://citeseerx.ist.psu.edu/viewdoc/download?doi=10.1.1.118.6922&amp;rep=rep1&amp;type=pdf" TargetMode="External"/><Relationship Id="rId2" Type="http://schemas.openxmlformats.org/officeDocument/2006/relationships/drawing" Target="../drawings/drawing18.xml"/>
</Relationships>
</file>

<file path=xl/worksheets/_rels/sheet31.xml.rels><?xml version="1.0" encoding="UTF-8"?>
<Relationships xmlns="http://schemas.openxmlformats.org/package/2006/relationships"><Relationship Id="rId1" Type="http://schemas.openxmlformats.org/officeDocument/2006/relationships/hyperlink" Target="https://www.umweltbundesamt.de/sites/default/files/medien/378/publikationen/texte_82_2013_janssen_informationstechnik_teil_c.pdf" TargetMode="External"/><Relationship Id="rId2" Type="http://schemas.openxmlformats.org/officeDocument/2006/relationships/drawing" Target="../drawings/drawing19.xml"/>
</Relationships>
</file>

<file path=xl/worksheets/_rels/sheet32.xml.rels><?xml version="1.0" encoding="UTF-8"?>
<Relationships xmlns="http://schemas.openxmlformats.org/package/2006/relationships"><Relationship Id="rId1" Type="http://schemas.openxmlformats.org/officeDocument/2006/relationships/hyperlink" Target="https://www.fairphone.com/wp-content/uploads/2016/11/Fairphone_2_LCA_Final_20161122.pdf" TargetMode="External"/><Relationship Id="rId2" Type="http://schemas.openxmlformats.org/officeDocument/2006/relationships/hyperlink" Target="https://www.fairphone.com/wp-content/uploads/2020/07/Fairphone_3_LCA.pdf" TargetMode="External"/><Relationship Id="rId3" Type="http://schemas.openxmlformats.org/officeDocument/2006/relationships/drawing" Target="../drawings/drawing20.xml"/>
</Relationships>
</file>

<file path=xl/worksheets/_rels/sheet33.xml.rels><?xml version="1.0" encoding="UTF-8"?>
<Relationships xmlns="http://schemas.openxmlformats.org/package/2006/relationships"><Relationship Id="rId1" Type="http://schemas.openxmlformats.org/officeDocument/2006/relationships/hyperlink" Target="http://link.springer.com/10.1007/s11367-011-0351-1" TargetMode="External"/><Relationship Id="rId2" Type="http://schemas.openxmlformats.org/officeDocument/2006/relationships/drawing" Target="../drawings/drawing21.xml"/>
</Relationships>
</file>

<file path=xl/worksheets/_rels/sheet34.xml.rels><?xml version="1.0" encoding="UTF-8"?>
<Relationships xmlns="http://schemas.openxmlformats.org/package/2006/relationships"><Relationship Id="rId1" Type="http://schemas.openxmlformats.org/officeDocument/2006/relationships/hyperlink" Target="http://hdl.handle.net/2429/47025" TargetMode="External"/><Relationship Id="rId2" Type="http://schemas.openxmlformats.org/officeDocument/2006/relationships/drawing" Target="../drawings/drawing22.xml"/>
</Relationships>
</file>

<file path=xl/worksheets/_rels/sheet35.xml.rels><?xml version="1.0" encoding="UTF-8"?>
<Relationships xmlns="http://schemas.openxmlformats.org/package/2006/relationships"><Relationship Id="rId1" Type="http://schemas.openxmlformats.org/officeDocument/2006/relationships/hyperlink" Target="https://www.mpedram.com/Papers/lifecycle-inventory-analysis-finfet-issst14.pdf" TargetMode="External"/><Relationship Id="rId2" Type="http://schemas.openxmlformats.org/officeDocument/2006/relationships/drawing" Target="../drawings/drawing23.xml"/>
</Relationships>
</file>

<file path=xl/worksheets/_rels/sheet36.xml.rels><?xml version="1.0" encoding="UTF-8"?>
<Relationships xmlns="http://schemas.openxmlformats.org/package/2006/relationships"><Relationship Id="rId1" Type="http://schemas.openxmlformats.org/officeDocument/2006/relationships/hyperlink" Target="https://doi.org/10.1021/es025643o" TargetMode="External"/><Relationship Id="rId2" Type="http://schemas.openxmlformats.org/officeDocument/2006/relationships/hyperlink" Target="https://doi.org/10.1021/es035152j" TargetMode="External"/><Relationship Id="rId3" Type="http://schemas.openxmlformats.org/officeDocument/2006/relationships/hyperlink" Target="https://doi.org/10.1109/ISEE.2004.1299692" TargetMode="External"/><Relationship Id="rId4" Type="http://schemas.openxmlformats.org/officeDocument/2006/relationships/hyperlink" Target="https://doi.org/10.1016/j.tsf.2004.02.049" TargetMode="External"/><Relationship Id="rId5" Type="http://schemas.openxmlformats.org/officeDocument/2006/relationships/drawing" Target="../drawings/drawing24.xml"/>
</Relationships>
</file>

<file path=xl/worksheets/_rels/sheet37.xml.rels><?xml version="1.0" encoding="UTF-8"?>
<Relationships xmlns="http://schemas.openxmlformats.org/package/2006/relationships"><Relationship Id="rId1" Type="http://schemas.openxmlformats.org/officeDocument/2006/relationships/hyperlink" Target="https://doi.org/10.1021/es903297k" TargetMode="External"/><Relationship Id="rId2" Type="http://schemas.openxmlformats.org/officeDocument/2006/relationships/drawing" Target="../drawings/drawing25.xml"/>
</Relationships>
</file>

<file path=xl/worksheets/_rels/sheet4.xml.rels><?xml version="1.0" encoding="UTF-8"?>
<Relationships xmlns="http://schemas.openxmlformats.org/package/2006/relationships"><Relationship Id="rId1" Type="http://schemas.openxmlformats.org/officeDocument/2006/relationships/hyperlink" Target="https://ieeexplore.ieee.org/document/9372004/" TargetMode="External"/><Relationship Id="rId2" Type="http://schemas.openxmlformats.org/officeDocument/2006/relationships/hyperlink" Target="https://ieeexplore.ieee.org/document/9372004/" TargetMode="External"/><Relationship Id="rId3" Type="http://schemas.openxmlformats.org/officeDocument/2006/relationships/hyperlink" Target="https://ieeexplore.ieee.org/document/9372004/" TargetMode="External"/><Relationship Id="rId4" Type="http://schemas.openxmlformats.org/officeDocument/2006/relationships/hyperlink" Target="https://ieeexplore.ieee.org/document/9372004/" TargetMode="External"/><Relationship Id="rId5" Type="http://schemas.openxmlformats.org/officeDocument/2006/relationships/hyperlink" Target="https://ieeexplore.ieee.org/document/9372004/" TargetMode="External"/><Relationship Id="rId6" Type="http://schemas.openxmlformats.org/officeDocument/2006/relationships/hyperlink" Target="https://ieeexplore.ieee.org/document/9372004/" TargetMode="External"/><Relationship Id="rId7" Type="http://schemas.openxmlformats.org/officeDocument/2006/relationships/hyperlink" Target="https://ieeexplore.ieee.org/document/9372004/" TargetMode="External"/><Relationship Id="rId8" Type="http://schemas.openxmlformats.org/officeDocument/2006/relationships/hyperlink" Target="https://ieeexplore.ieee.org/document/9372004/" TargetMode="External"/><Relationship Id="rId9" Type="http://schemas.openxmlformats.org/officeDocument/2006/relationships/hyperlink" Target="https://ieeexplore.ieee.org/document/9372004/" TargetMode="External"/><Relationship Id="rId10" Type="http://schemas.openxmlformats.org/officeDocument/2006/relationships/hyperlink" Target="https://www.umweltbundesamt.de/publikationen/schaffung-einer-datenbasis-zur-ermittlung" TargetMode="External"/><Relationship Id="rId11" Type="http://schemas.openxmlformats.org/officeDocument/2006/relationships/hyperlink" Target="https://citeseerx.ist.psu.edu/viewdoc/download?doi=10.1.1.118.6922&amp;rep=rep1&amp;type=pdf" TargetMode="External"/><Relationship Id="rId12" Type="http://schemas.openxmlformats.org/officeDocument/2006/relationships/hyperlink" Target="https://citeseerx.ist.psu.edu/viewdoc/download?doi=10.1.1.118.6922&amp;rep=rep1&amp;type=pdf" TargetMode="External"/><Relationship Id="rId13" Type="http://schemas.openxmlformats.org/officeDocument/2006/relationships/hyperlink" Target="https://citeseerx.ist.psu.edu/viewdoc/download?doi=10.1.1.118.6922&amp;rep=rep1&amp;type=pdf" TargetMode="External"/><Relationship Id="rId14" Type="http://schemas.openxmlformats.org/officeDocument/2006/relationships/hyperlink" Target="https://citeseerx.ist.psu.edu/viewdoc/download?doi=10.1.1.118.6922&amp;rep=rep1&amp;type=pdf" TargetMode="External"/><Relationship Id="rId15" Type="http://schemas.openxmlformats.org/officeDocument/2006/relationships/hyperlink" Target="https://citeseerx.ist.psu.edu/viewdoc/download?doi=10.1.1.118.6922&amp;rep=rep1&amp;type=pdf" TargetMode="External"/><Relationship Id="rId16" Type="http://schemas.openxmlformats.org/officeDocument/2006/relationships/hyperlink" Target="https://citeseerx.ist.psu.edu/viewdoc/download?doi=10.1.1.118.6922&amp;rep=rep1&amp;type=pdf" TargetMode="External"/><Relationship Id="rId17" Type="http://schemas.openxmlformats.org/officeDocument/2006/relationships/hyperlink" Target="https://citeseerx.ist.psu.edu/viewdoc/download?doi=10.1.1.118.6922&amp;rep=rep1&amp;type=pdf" TargetMode="External"/><Relationship Id="rId18" Type="http://schemas.openxmlformats.org/officeDocument/2006/relationships/hyperlink" Target="https://citeseerx.ist.psu.edu/viewdoc/download?doi=10.1.1.118.6922&amp;rep=rep1&amp;type=pdf" TargetMode="External"/><Relationship Id="rId19" Type="http://schemas.openxmlformats.org/officeDocument/2006/relationships/hyperlink" Target="https://citeseerx.ist.psu.edu/viewdoc/download?doi=10.1.1.118.6922&amp;rep=rep1&amp;type=pdf" TargetMode="External"/><Relationship Id="rId20" Type="http://schemas.openxmlformats.org/officeDocument/2006/relationships/hyperlink" Target="https://citeseerx.ist.psu.edu/viewdoc/download?doi=10.1.1.118.6922&amp;rep=rep1&amp;type=pdf" TargetMode="External"/><Relationship Id="rId21" Type="http://schemas.openxmlformats.org/officeDocument/2006/relationships/hyperlink" Target="https://citeseerx.ist.psu.edu/viewdoc/download?doi=10.1.1.118.6922&amp;rep=rep1&amp;type=pdf" TargetMode="External"/><Relationship Id="rId22" Type="http://schemas.openxmlformats.org/officeDocument/2006/relationships/hyperlink" Target="https://citeseerx.ist.psu.edu/viewdoc/download?doi=10.1.1.118.6922&amp;rep=rep1&amp;type=pdf" TargetMode="External"/><Relationship Id="rId23" Type="http://schemas.openxmlformats.org/officeDocument/2006/relationships/hyperlink" Target="https://citeseerx.ist.psu.edu/viewdoc/download?doi=10.1.1.118.6922&amp;rep=rep1&amp;type=pdf" TargetMode="External"/><Relationship Id="rId24" Type="http://schemas.openxmlformats.org/officeDocument/2006/relationships/hyperlink" Target="https://citeseerx.ist.psu.edu/viewdoc/download?doi=10.1.1.118.6922&amp;rep=rep1&amp;type=pdf" TargetMode="External"/><Relationship Id="rId25" Type="http://schemas.openxmlformats.org/officeDocument/2006/relationships/hyperlink" Target="https://citeseerx.ist.psu.edu/viewdoc/download?doi=10.1.1.118.6922&amp;rep=rep1&amp;type=pdf" TargetMode="External"/><Relationship Id="rId26" Type="http://schemas.openxmlformats.org/officeDocument/2006/relationships/hyperlink" Target="https://citeseerx.ist.psu.edu/viewdoc/download?doi=10.1.1.118.6922&amp;rep=rep1&amp;type=pdf" TargetMode="External"/><Relationship Id="rId27" Type="http://schemas.openxmlformats.org/officeDocument/2006/relationships/hyperlink" Target="https://citeseerx.ist.psu.edu/viewdoc/download?doi=10.1.1.118.6922&amp;rep=rep1&amp;type=pdf" TargetMode="External"/><Relationship Id="rId28" Type="http://schemas.openxmlformats.org/officeDocument/2006/relationships/hyperlink" Target="https://citeseerx.ist.psu.edu/viewdoc/download?doi=10.1.1.118.6922&amp;rep=rep1&amp;type=pdf" TargetMode="External"/><Relationship Id="rId29" Type="http://schemas.openxmlformats.org/officeDocument/2006/relationships/hyperlink" Target="https://citeseerx.ist.psu.edu/viewdoc/download?doi=10.1.1.118.6922&amp;rep=rep1&amp;type=pdf" TargetMode="External"/><Relationship Id="rId30" Type="http://schemas.openxmlformats.org/officeDocument/2006/relationships/hyperlink" Target="https://citeseerx.ist.psu.edu/viewdoc/download?doi=10.1.1.118.6922&amp;rep=rep1&amp;type=pdf" TargetMode="External"/><Relationship Id="rId31" Type="http://schemas.openxmlformats.org/officeDocument/2006/relationships/hyperlink" Target="https://citeseerx.ist.psu.edu/viewdoc/download?doi=10.1.1.118.6922&amp;rep=rep1&amp;type=pdf" TargetMode="External"/><Relationship Id="rId32" Type="http://schemas.openxmlformats.org/officeDocument/2006/relationships/hyperlink" Target="https://citeseerx.ist.psu.edu/viewdoc/download?doi=10.1.1.118.6922&amp;rep=rep1&amp;type=pdf" TargetMode="External"/><Relationship Id="rId33" Type="http://schemas.openxmlformats.org/officeDocument/2006/relationships/hyperlink" Target="https://citeseerx.ist.psu.edu/viewdoc/download?doi=10.1.1.118.6922&amp;rep=rep1&amp;type=pdf" TargetMode="External"/><Relationship Id="rId34" Type="http://schemas.openxmlformats.org/officeDocument/2006/relationships/hyperlink" Target="https://citeseerx.ist.psu.edu/viewdoc/download?doi=10.1.1.118.6922&amp;rep=rep1&amp;type=pdf" TargetMode="External"/><Relationship Id="rId35" Type="http://schemas.openxmlformats.org/officeDocument/2006/relationships/hyperlink" Target="https://citeseerx.ist.psu.edu/viewdoc/download?doi=10.1.1.118.6922&amp;rep=rep1&amp;type=pdf" TargetMode="External"/><Relationship Id="rId36" Type="http://schemas.openxmlformats.org/officeDocument/2006/relationships/hyperlink" Target="https://citeseerx.ist.psu.edu/viewdoc/download?doi=10.1.1.118.6922&amp;rep=rep1&amp;type=pdf" TargetMode="External"/><Relationship Id="rId37" Type="http://schemas.openxmlformats.org/officeDocument/2006/relationships/hyperlink" Target="https://citeseerx.ist.psu.edu/viewdoc/download?doi=10.1.1.118.6922&amp;rep=rep1&amp;type=pdf" TargetMode="External"/><Relationship Id="rId38" Type="http://schemas.openxmlformats.org/officeDocument/2006/relationships/hyperlink" Target="https://citeseerx.ist.psu.edu/viewdoc/download?doi=10.1.1.118.6922&amp;rep=rep1&amp;type=pdf" TargetMode="External"/><Relationship Id="rId39" Type="http://schemas.openxmlformats.org/officeDocument/2006/relationships/hyperlink" Target="https://citeseerx.ist.psu.edu/viewdoc/download?doi=10.1.1.118.6922&amp;rep=rep1&amp;type=pdf" TargetMode="External"/><Relationship Id="rId40" Type="http://schemas.openxmlformats.org/officeDocument/2006/relationships/hyperlink" Target="https://citeseerx.ist.psu.edu/viewdoc/download?doi=10.1.1.118.6922&amp;rep=rep1&amp;type=pdf" TargetMode="External"/><Relationship Id="rId41" Type="http://schemas.openxmlformats.org/officeDocument/2006/relationships/hyperlink" Target="https://citeseerx.ist.psu.edu/viewdoc/download?doi=10.1.1.118.6922&amp;rep=rep1&amp;type=pdf" TargetMode="External"/><Relationship Id="rId42" Type="http://schemas.openxmlformats.org/officeDocument/2006/relationships/hyperlink" Target="https://citeseerx.ist.psu.edu/viewdoc/download?doi=10.1.1.118.6922&amp;rep=rep1&amp;type=pdf" TargetMode="External"/><Relationship Id="rId43" Type="http://schemas.openxmlformats.org/officeDocument/2006/relationships/hyperlink" Target="https://citeseerx.ist.psu.edu/viewdoc/download?doi=10.1.1.118.6922&amp;rep=rep1&amp;type=pdf" TargetMode="External"/><Relationship Id="rId44" Type="http://schemas.openxmlformats.org/officeDocument/2006/relationships/hyperlink" Target="https://citeseerx.ist.psu.edu/viewdoc/download?doi=10.1.1.118.6922&amp;rep=rep1&amp;type=pdf" TargetMode="External"/><Relationship Id="rId45" Type="http://schemas.openxmlformats.org/officeDocument/2006/relationships/hyperlink" Target="https://citeseerx.ist.psu.edu/viewdoc/download?doi=10.1.1.118.6922&amp;rep=rep1&amp;type=pdf" TargetMode="External"/><Relationship Id="rId46" Type="http://schemas.openxmlformats.org/officeDocument/2006/relationships/hyperlink" Target="https://citeseerx.ist.psu.edu/viewdoc/download?doi=10.1.1.118.6922&amp;rep=rep1&amp;type=pdf" TargetMode="External"/><Relationship Id="rId47" Type="http://schemas.openxmlformats.org/officeDocument/2006/relationships/hyperlink" Target="https://citeseerx.ist.psu.edu/viewdoc/download?doi=10.1.1.118.6922&amp;rep=rep1&amp;type=pdf" TargetMode="External"/><Relationship Id="rId48" Type="http://schemas.openxmlformats.org/officeDocument/2006/relationships/hyperlink" Target="https://citeseerx.ist.psu.edu/viewdoc/download?doi=10.1.1.118.6922&amp;rep=rep1&amp;type=pdf" TargetMode="External"/><Relationship Id="rId49" Type="http://schemas.openxmlformats.org/officeDocument/2006/relationships/hyperlink" Target="https://citeseerx.ist.psu.edu/viewdoc/download?doi=10.1.1.118.6922&amp;rep=rep1&amp;type=pdf" TargetMode="External"/><Relationship Id="rId50" Type="http://schemas.openxmlformats.org/officeDocument/2006/relationships/hyperlink" Target="https://citeseerx.ist.psu.edu/viewdoc/download?doi=10.1.1.118.6922&amp;rep=rep1&amp;type=pdf" TargetMode="External"/><Relationship Id="rId51" Type="http://schemas.openxmlformats.org/officeDocument/2006/relationships/hyperlink" Target="https://citeseerx.ist.psu.edu/viewdoc/download?doi=10.1.1.118.6922&amp;rep=rep1&amp;type=pdf" TargetMode="External"/><Relationship Id="rId52" Type="http://schemas.openxmlformats.org/officeDocument/2006/relationships/hyperlink" Target="https://citeseerx.ist.psu.edu/viewdoc/download?doi=10.1.1.118.6922&amp;rep=rep1&amp;type=pdf" TargetMode="External"/><Relationship Id="rId53" Type="http://schemas.openxmlformats.org/officeDocument/2006/relationships/hyperlink" Target="https://doi.org/10.1021/es025643o" TargetMode="External"/><Relationship Id="rId54" Type="http://schemas.openxmlformats.org/officeDocument/2006/relationships/hyperlink" Target="https://doi.org/10.1021/es025643o" TargetMode="External"/><Relationship Id="rId55" Type="http://schemas.openxmlformats.org/officeDocument/2006/relationships/hyperlink" Target="https://doi.org/10.1021/es025643o" TargetMode="External"/><Relationship Id="rId56" Type="http://schemas.openxmlformats.org/officeDocument/2006/relationships/hyperlink" Target="https://doi.org/10.1021/es025643o" TargetMode="External"/><Relationship Id="rId57" Type="http://schemas.openxmlformats.org/officeDocument/2006/relationships/hyperlink" Target="https://doi.org/10.1021/es025643o" TargetMode="External"/><Relationship Id="rId58" Type="http://schemas.openxmlformats.org/officeDocument/2006/relationships/hyperlink" Target="https://doi.org/10.1021/es025643o" TargetMode="External"/><Relationship Id="rId59" Type="http://schemas.openxmlformats.org/officeDocument/2006/relationships/hyperlink" Target="http://hdl.handle.net/1721.1/46056" TargetMode="External"/><Relationship Id="rId60" Type="http://schemas.openxmlformats.org/officeDocument/2006/relationships/hyperlink" Target="http://hdl.handle.net/1721.1/46056" TargetMode="External"/><Relationship Id="rId61" Type="http://schemas.openxmlformats.org/officeDocument/2006/relationships/hyperlink" Target="http://hdl.handle.net/1721.1/46056" TargetMode="External"/><Relationship Id="rId62" Type="http://schemas.openxmlformats.org/officeDocument/2006/relationships/hyperlink" Target="http://hdl.handle.net/1721.1/46056" TargetMode="External"/><Relationship Id="rId63"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64"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65" Type="http://schemas.openxmlformats.org/officeDocument/2006/relationships/hyperlink" Target="https://www.umc.com/upload/media/07_Sustainability/72_Reports_and_Results/1_Corporate_Sustainability_Reports/CSR_Reports/CS_Report_English_pdf/2018_CSR_report_eng_all.pdf" TargetMode="External"/><Relationship Id="rId66" Type="http://schemas.openxmlformats.org/officeDocument/2006/relationships/hyperlink" Target="https://www.umc.com/upload/media/07_Sustainability/72_Reports_and_Results/1_Corporate_Sustainability_Reports/CSR_Reports/CS_Report_English_pdf/2017_CSR_report_eng_all.pdf" TargetMode="External"/><Relationship Id="rId67" Type="http://schemas.openxmlformats.org/officeDocument/2006/relationships/hyperlink" Target="https://www.umc.com/upload/media/07_Sustainability/72_Reports_and_Results/1_Corporate_Sustainability_Reports/CSR_Reports/CS_Report_English_pdf/2016_CSR_report_eng_all.pdf" TargetMode="External"/><Relationship Id="rId68" Type="http://schemas.openxmlformats.org/officeDocument/2006/relationships/hyperlink" Target="https://www.umc.com/upload/media/07_Sustainability/72_Reports_and_Results/1_Corporate_Sustainability_Reports/CSR_Reports/CS_Report_English_pdf/2015_CSR_report_eng_all.pdf" TargetMode="External"/><Relationship Id="rId69" Type="http://schemas.openxmlformats.org/officeDocument/2006/relationships/hyperlink" Target="https://www.umc.com/upload/media/07_Sustainability/72_Reports_and_Results/1_Corporate_Sustainability_Reports/CSR_Reports/CS_Report_English_pdf/2014_CSR_report_eng_all.pdf" TargetMode="External"/><Relationship Id="rId70" Type="http://schemas.openxmlformats.org/officeDocument/2006/relationships/hyperlink" Target="https://esg.tsmc.com/download/csr/2019-csr-report/english/pdf/e-all.pdf" TargetMode="External"/><Relationship Id="rId71" Type="http://schemas.openxmlformats.org/officeDocument/2006/relationships/hyperlink" Target="https://esg.tsmc.com/download/csr/2019-csr-report/english/pdf/e-all.pdf" TargetMode="External"/><Relationship Id="rId72" Type="http://schemas.openxmlformats.org/officeDocument/2006/relationships/hyperlink" Target="https://csr.tsmc.com/download/csr/2018_tsmc_csr_report_published_May_2019/english/pdf/e_all.pdf" TargetMode="External"/><Relationship Id="rId73" Type="http://schemas.openxmlformats.org/officeDocument/2006/relationships/hyperlink" Target="https://csr.tsmc.com/download/csr/2018_tsmc_csr/english/pdf/e_all.pdf" TargetMode="External"/><Relationship Id="rId74" Type="http://schemas.openxmlformats.org/officeDocument/2006/relationships/hyperlink" Target="https://csr.tsmc.com/download/csr/2017_tsmc_csr/english/pdf/e_all.pdf" TargetMode="External"/><Relationship Id="rId75" Type="http://schemas.openxmlformats.org/officeDocument/2006/relationships/hyperlink" Target="https://csr.tsmc.com/download/csr/2016_tsmc_csr/english/index.html" TargetMode="External"/><Relationship Id="rId76" Type="http://schemas.openxmlformats.org/officeDocument/2006/relationships/hyperlink" Target="https://csr.tsmc.com/download/csr/2015_tsmc_csr/english/index.html" TargetMode="External"/><Relationship Id="rId77" Type="http://schemas.openxmlformats.org/officeDocument/2006/relationships/hyperlink" Target="https://csr.tsmc.com/download/csr/2014_tsmc_csr/english/index.html" TargetMode="External"/><Relationship Id="rId78" Type="http://schemas.openxmlformats.org/officeDocument/2006/relationships/hyperlink" Target="https://csr.tsmc.com/download/csr/2013_tsmc_csr/english/index.html" TargetMode="External"/><Relationship Id="rId79" Type="http://schemas.openxmlformats.org/officeDocument/2006/relationships/hyperlink" Target="https://csr.tsmc.com/download/csr/2012_tsmc_csr/tsmc-e.html" TargetMode="External"/><Relationship Id="rId80" Type="http://schemas.openxmlformats.org/officeDocument/2006/relationships/hyperlink" Target="https://csr.tsmc.com/download/csr/2011_tsmc_csr_e/tsmc-e.html" TargetMode="External"/><Relationship Id="rId81"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82"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83" Type="http://schemas.openxmlformats.org/officeDocument/2006/relationships/hyperlink" Target="https://www.st.com/content/ccc/resource/corporate/financial/quarterly_report/group0/ed/d9/47/32/a4/d6/42/01/ST_Sustainability_Report_2019/files/ST_Sustainability_Report_2019.pdf/jcr:content/translations/en.ST_Sustainability_Report_2019.pdf" TargetMode="External"/><Relationship Id="rId84" Type="http://schemas.openxmlformats.org/officeDocument/2006/relationships/hyperlink" Target="https://www.st.com/content/ccc/resource/corporate/financial/quarterly_report/group0/66/45/58/d7/6a/4e/49/98/ST_Sustainability_Report_2018/files/ST_Sustainability_Report_2018.pdf/_jcr_content/translations/en.ST_Sustainability_Report_2018.pdf" TargetMode="External"/><Relationship Id="rId85" Type="http://schemas.openxmlformats.org/officeDocument/2006/relationships/hyperlink" Target="https://www.st.com/content/ccc/resource/corporate/financial/quarterly_report/group0/8b/57/65/59/08/d7/48/fc/ST_Sustainability_Report_2017/files/ST_Sustainability_Report_2017.pdf/_jcr_content/translations/en.ST_Sustainability_Report_2017.pdf" TargetMode="External"/><Relationship Id="rId86" Type="http://schemas.openxmlformats.org/officeDocument/2006/relationships/hyperlink" Target="https://www.st.com/content/ccc/resource/corporate/financial/quarterly_report/group0/8b/a2/52/e4/63/84/47/27/Sustainability%20Report%202015/files/cr15.pdf/_jcr_content/translations/en.cr15.pdf" TargetMode="External"/><Relationship Id="rId87" Type="http://schemas.openxmlformats.org/officeDocument/2006/relationships/hyperlink" Target="https://www.st.com/content/ccc/resource/corporate/financial/quarterly_report/10/d8/a7/80/66/69/47/c4/ST_sustainability_report_2014.pdf/files/ST_sustainability_report_2014.pdf/_jcr_content/translations/en.ST_sustainability_report_2014.pdf" TargetMode="External"/><Relationship Id="rId88" Type="http://schemas.openxmlformats.org/officeDocument/2006/relationships/hyperlink" Target="https://www.st.com/content/ccc/resource/corporate/financial/quarterly_report/b9/93/95/97/e7/4b/4a/c9/ST_sustainability_report_2013.pdf/files/ST_sustainability_report_2013.pdf/_jcr_content/translations/en.ST_sustainability_report_2013.pdf" TargetMode="External"/><Relationship Id="rId89" Type="http://schemas.openxmlformats.org/officeDocument/2006/relationships/hyperlink" Target="https://www.st.com/content/ccc/resource/corporate/financial/quarterly_report/cb/63/3a/fd/90/ae/4b/46/cr12.pdf/files/cr12.pdf/_jcr_content/translations/en.cr12.pdf" TargetMode="External"/><Relationship Id="rId90" Type="http://schemas.openxmlformats.org/officeDocument/2006/relationships/hyperlink" Target="https://www.st.com/content/ccc/resource/corporate/financial/quarterly_report/a4/bb/ea/fb/e6/8a/46/0f/cr11.pdf/files/cr11.pdf/_jcr_content/translations/en.cr11.pdf" TargetMode="External"/><Relationship Id="rId91" Type="http://schemas.openxmlformats.org/officeDocument/2006/relationships/hyperlink" Target="https://www.smics.com/uploads/1_&amp;e4&amp;b8&amp;ad&amp;e8&amp;8a&amp;af&amp;e5&amp;9b&amp;bd&amp;e9&amp;99&amp;85&amp;e7&amp;a4&amp;be&amp;e4&amp;bc&amp;9a&amp;e8&amp;b4&amp;a3&amp;e4&amp;bb&amp;bb&amp;e6&amp;8a&amp;a5&amp;e5&amp;91&amp;8a-&amp;e8&amp;8b&amp;b1&amp;e6&amp;96&amp;87&amp;e6&amp;8c&amp;82&amp;e7&amp;bd&amp;91&amp;e7&amp;89&amp;887.26-5.pdf" TargetMode="External"/><Relationship Id="rId92" Type="http://schemas.openxmlformats.org/officeDocument/2006/relationships/hyperlink" Target="https://www.smics.com/uploads/2019%20SMIC%20CSR%20Report%20Final-&amp;e8&amp;8b&amp;b1&amp;e6&amp;96&amp;87.pdf" TargetMode="External"/><Relationship Id="rId93" Type="http://schemas.openxmlformats.org/officeDocument/2006/relationships/hyperlink" Target="https://www.smics.com/uploads/2018%20CSR%20Report-EN.pdf" TargetMode="External"/><Relationship Id="rId94" Type="http://schemas.openxmlformats.org/officeDocument/2006/relationships/hyperlink" Target="https://www.smics.com/uploads/2017%20SMIC%20CSR%20Report%20_EN.pdf" TargetMode="External"/><Relationship Id="rId95" Type="http://schemas.openxmlformats.org/officeDocument/2006/relationships/hyperlink" Target="https://www.smics.com/uploads/2016_SMIC_CSR_Report.pdf" TargetMode="External"/><Relationship Id="rId96" Type="http://schemas.openxmlformats.org/officeDocument/2006/relationships/hyperlink" Target="https://www.globalfoundries.com/sites/default/files/2021-01/gf_2020_csr_report.pdf" TargetMode="External"/><Relationship Id="rId97" Type="http://schemas.openxmlformats.org/officeDocument/2006/relationships/hyperlink" Target="https://gf.com/sites/default/files/gf_crr19_0808_final_2.pdf" TargetMode="External"/><Relationship Id="rId98" Type="http://schemas.openxmlformats.org/officeDocument/2006/relationships/hyperlink" Target="https://gf.com/sites/default/files/gf_crr18_1219a.pdf" TargetMode="External"/><Relationship Id="rId99" Type="http://schemas.openxmlformats.org/officeDocument/2006/relationships/hyperlink" Target="https://gf.com/sites/default/files/globalfoundries-2017-csr-report-final.pdf" TargetMode="External"/><Relationship Id="rId100" Type="http://schemas.openxmlformats.org/officeDocument/2006/relationships/hyperlink" Target="https://gf.com/sites/default/files/gf-2016-csr-report-12-21-16.pdf" TargetMode="External"/><Relationship Id="rId101" Type="http://schemas.openxmlformats.org/officeDocument/2006/relationships/hyperlink" Target="https://gf.com/sites/default/files/gf-2016-csr-report-12-21-16.pdf" TargetMode="External"/><Relationship Id="rId102" Type="http://schemas.openxmlformats.org/officeDocument/2006/relationships/hyperlink" Target="https://gf.com/sites/default/files/globalfoundries-corporate-responsibility-report-9-23-final.pdf" TargetMode="External"/><Relationship Id="rId103" Type="http://schemas.openxmlformats.org/officeDocument/2006/relationships/hyperlink" Target="https://gf.com/sites/default/files/globalfoundries-corporate-responsibility-report-9-23-final.pdf" TargetMode="External"/><Relationship Id="rId104" Type="http://schemas.openxmlformats.org/officeDocument/2006/relationships/hyperlink" Target="https://gf.com/sites/default/files/2012-corporate-responsibility-report.pdf" TargetMode="External"/><Relationship Id="rId105" Type="http://schemas.openxmlformats.org/officeDocument/2006/relationships/hyperlink" Target="https://gf.com/sites/default/files/2012-corporate-responsibility-report.pdf" TargetMode="External"/><Relationship Id="rId106" Type="http://schemas.openxmlformats.org/officeDocument/2006/relationships/hyperlink" Target="https://eps.ieee.org/images/files/Roadmap/ITRSESH2015.pdf" TargetMode="External"/><Relationship Id="rId107" Type="http://schemas.openxmlformats.org/officeDocument/2006/relationships/hyperlink" Target="https://eps.ieee.org/images/files/Roadmap/ITRSESH2015.pdf" TargetMode="External"/><Relationship Id="rId108" Type="http://schemas.openxmlformats.org/officeDocument/2006/relationships/hyperlink" Target="https://eps.ieee.org/images/files/Roadmap/ITRSESH2015.pdf" TargetMode="External"/><Relationship Id="rId109" Type="http://schemas.openxmlformats.org/officeDocument/2006/relationships/hyperlink" Target="https://eps.ieee.org/images/files/Roadmap/ITRSESH2015.pdf" TargetMode="External"/><Relationship Id="rId110" Type="http://schemas.openxmlformats.org/officeDocument/2006/relationships/hyperlink" Target="https://eps.ieee.org/images/files/Roadmap/ITRSESH2015.pdf" TargetMode="External"/><Relationship Id="rId111" Type="http://schemas.openxmlformats.org/officeDocument/2006/relationships/hyperlink" Target="https://eps.ieee.org/images/files/Roadmap/ITRSESH2015.pdf" TargetMode="External"/><Relationship Id="rId112" Type="http://schemas.openxmlformats.org/officeDocument/2006/relationships/hyperlink" Target="https://eps.ieee.org/images/files/Roadmap/ITRSESH2015.pdf" TargetMode="External"/><Relationship Id="rId113" Type="http://schemas.openxmlformats.org/officeDocument/2006/relationships/hyperlink" Target="https://eps.ieee.org/images/files/Roadmap/ITRSESH2015.pdf" TargetMode="External"/><Relationship Id="rId114" Type="http://schemas.openxmlformats.org/officeDocument/2006/relationships/hyperlink" Target="https://eps.ieee.org/images/files/Roadmap/ITRSESH2015.pdf" TargetMode="External"/><Relationship Id="rId115" Type="http://schemas.openxmlformats.org/officeDocument/2006/relationships/hyperlink" Target="https://eps.ieee.org/images/files/Roadmap/ITRSESH2015.pdf" TargetMode="External"/><Relationship Id="rId116" Type="http://schemas.openxmlformats.org/officeDocument/2006/relationships/hyperlink" Target="https://eps.ieee.org/images/files/Roadmap/ITRSESH2015.pdf" TargetMode="External"/><Relationship Id="rId117" Type="http://schemas.openxmlformats.org/officeDocument/2006/relationships/hyperlink" Target="https://eps.ieee.org/images/files/Roadmap/ITRSESH2015.pdf" TargetMode="External"/><Relationship Id="rId118" Type="http://schemas.openxmlformats.org/officeDocument/2006/relationships/hyperlink" Target="https://eps.ieee.org/images/files/Roadmap/ITRSESH2015.pdf" TargetMode="External"/><Relationship Id="rId119" Type="http://schemas.openxmlformats.org/officeDocument/2006/relationships/hyperlink" Target="https://eps.ieee.org/images/files/Roadmap/ITRSESH2015.pdf" TargetMode="External"/><Relationship Id="rId120" Type="http://schemas.openxmlformats.org/officeDocument/2006/relationships/hyperlink" Target="https://eps.ieee.org/images/files/Roadmap/ITRSESH2015.pdf" TargetMode="External"/><Relationship Id="rId121" Type="http://schemas.openxmlformats.org/officeDocument/2006/relationships/hyperlink" Target="https://eps.ieee.org/images/files/Roadmap/ITRSESH2015.pdf" TargetMode="External"/><Relationship Id="rId122" Type="http://schemas.openxmlformats.org/officeDocument/2006/relationships/hyperlink" Target="https://gabi.sphera.com/international/databases/gabi-databases/electronics/" TargetMode="External"/><Relationship Id="rId123" Type="http://schemas.openxmlformats.org/officeDocument/2006/relationships/hyperlink" Target="https://gabi.sphera.com/international/databases/gabi-databases/electronics/" TargetMode="External"/><Relationship Id="rId124" Type="http://schemas.openxmlformats.org/officeDocument/2006/relationships/hyperlink" Target="https://gabi.sphera.com/international/databases/gabi-databases/electronics/" TargetMode="External"/><Relationship Id="rId125" Type="http://schemas.openxmlformats.org/officeDocument/2006/relationships/hyperlink" Target="https://gabi.sphera.com/international/databases/gabi-databases/electronics/" TargetMode="External"/><Relationship Id="rId126" Type="http://schemas.openxmlformats.org/officeDocument/2006/relationships/hyperlink" Target="https://gabi.sphera.com/international/databases/gabi-databases/electronics/" TargetMode="External"/><Relationship Id="rId127" Type="http://schemas.openxmlformats.org/officeDocument/2006/relationships/hyperlink" Target="https://gabi.sphera.com/international/databases/gabi-databases/electronics/" TargetMode="External"/><Relationship Id="rId128" Type="http://schemas.openxmlformats.org/officeDocument/2006/relationships/hyperlink" Target="https://gabi.sphera.com/international/databases/gabi-databases/electronics/" TargetMode="External"/><Relationship Id="rId129" Type="http://schemas.openxmlformats.org/officeDocument/2006/relationships/hyperlink" Target="https://gabi.sphera.com/international/databases/gabi-databases/electronics/" TargetMode="External"/><Relationship Id="rId130" Type="http://schemas.openxmlformats.org/officeDocument/2006/relationships/hyperlink" Target="https://gabi.sphera.com/international/databases/gabi-databases/electronics/" TargetMode="External"/><Relationship Id="rId131" Type="http://schemas.openxmlformats.org/officeDocument/2006/relationships/hyperlink" Target="https://gabi.sphera.com/international/databases/gabi-databases/electronics/" TargetMode="External"/><Relationship Id="rId132" Type="http://schemas.openxmlformats.org/officeDocument/2006/relationships/hyperlink" Target="https://gabi.sphera.com/international/databases/gabi-databases/electronics/" TargetMode="External"/><Relationship Id="rId133" Type="http://schemas.openxmlformats.org/officeDocument/2006/relationships/hyperlink" Target="https://gabi.sphera.com/international/databases/gabi-databases/electronics/" TargetMode="External"/>
</Relationships>
</file>

<file path=xl/worksheets/_rels/sheet40.xml.rels><?xml version="1.0" encoding="UTF-8"?>
<Relationships xmlns="http://schemas.openxmlformats.org/package/2006/relationships"><Relationship Id="rId1" Type="http://schemas.openxmlformats.org/officeDocument/2006/relationships/comments" Target="../comments40.xml"/><Relationship Id="rId2" Type="http://schemas.openxmlformats.org/officeDocument/2006/relationships/hyperlink" Target="https://doi.org/10.1109/IEDM13553.2020.9372004" TargetMode="External"/><Relationship Id="rId3" Type="http://schemas.openxmlformats.org/officeDocument/2006/relationships/vmlDrawing" Target="../drawings/vmlDrawing1.vml"/>
</Relationships>
</file>

<file path=xl/worksheets/_rels/sheet5.xml.rels><?xml version="1.0" encoding="UTF-8"?>
<Relationships xmlns="http://schemas.openxmlformats.org/package/2006/relationships"><Relationship Id="rId1" Type="http://schemas.openxmlformats.org/officeDocument/2006/relationships/hyperlink" Target="https://ec.europa.eu/energy/sites/ener/files/documents/final_report_pef_eed.pdf" TargetMode="External"/><Relationship Id="rId2" Type="http://schemas.openxmlformats.org/officeDocument/2006/relationships/hyperlink" Target="https://ourworldindata.org/grapher/carbon-intensity-electricity?tab=chart&amp;time=earliest..latest&amp;region=World" TargetMode="External"/><Relationship Id="rId3" Type="http://schemas.openxmlformats.org/officeDocument/2006/relationships/drawing" Target="../drawings/drawing2.xml"/>
</Relationships>
</file>

<file path=xl/worksheets/_rels/sheet8.xml.rels><?xml version="1.0" encoding="UTF-8"?>
<Relationships xmlns="http://schemas.openxmlformats.org/package/2006/relationships"><Relationship Id="rId1" Type="http://schemas.openxmlformats.org/officeDocument/2006/relationships/hyperlink" Target="https://doi.org/10.1016/j.eiar.2020.106416" TargetMode="External"/><Relationship Id="rId2" Type="http://schemas.openxmlformats.org/officeDocument/2006/relationships/hyperlink" Target="https://v35.ecoquery.ecoinvent.org/Details/UPR/fee4fec6-157c-4e9c-b991-31b43a881e41/8b738ea0-f89e-4627-8679-433616064e82" TargetMode="Externa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70AD47"/>
    <pageSetUpPr fitToPage="false"/>
  </sheetPr>
  <dimension ref="B1:AI38"/>
  <sheetViews>
    <sheetView showFormulas="false" showGridLines="true" showRowColHeaders="true" showZeros="true" rightToLeft="false" tabSelected="false" showOutlineSymbols="true" defaultGridColor="true" view="normal" topLeftCell="B1" colorId="64" zoomScale="70" zoomScaleNormal="70" zoomScalePageLayoutView="100" workbookViewId="0">
      <selection pane="topLeft" activeCell="M17" activeCellId="0" sqref="M17"/>
    </sheetView>
  </sheetViews>
  <sheetFormatPr defaultColWidth="10.890625" defaultRowHeight="15.75" zeroHeight="false" outlineLevelRow="0" outlineLevelCol="0"/>
  <cols>
    <col collapsed="false" customWidth="true" hidden="false" outlineLevel="0" max="1" min="1" style="1" width="3.11"/>
    <col collapsed="false" customWidth="true" hidden="false" outlineLevel="0" max="2" min="2" style="2" width="15.75"/>
    <col collapsed="false" customWidth="true" hidden="false" outlineLevel="0" max="6" min="3" style="2" width="15"/>
    <col collapsed="false" customWidth="true" hidden="false" outlineLevel="0" max="21" min="7" style="3" width="25.89"/>
    <col collapsed="false" customWidth="true" hidden="false" outlineLevel="0" max="22" min="22" style="4" width="42.75"/>
    <col collapsed="false" customWidth="true" hidden="false" outlineLevel="0" max="23" min="23" style="2" width="9"/>
    <col collapsed="false" customWidth="true" hidden="false" outlineLevel="0" max="24" min="24" style="2" width="56.63"/>
    <col collapsed="false" customWidth="true" hidden="false" outlineLevel="0" max="25" min="25" style="2" width="30.87"/>
    <col collapsed="false" customWidth="false" hidden="false" outlineLevel="0" max="1024" min="26" style="2" width="10.89"/>
  </cols>
  <sheetData>
    <row r="1" s="1" customFormat="true" ht="15.75" hidden="false" customHeight="false" outlineLevel="0" collapsed="false">
      <c r="G1" s="5"/>
      <c r="H1" s="5"/>
      <c r="I1" s="5"/>
      <c r="J1" s="5"/>
      <c r="K1" s="5"/>
      <c r="L1" s="5"/>
      <c r="M1" s="5"/>
      <c r="N1" s="5"/>
      <c r="O1" s="5"/>
      <c r="P1" s="5"/>
      <c r="Q1" s="5"/>
      <c r="R1" s="5"/>
      <c r="S1" s="5"/>
      <c r="T1" s="5"/>
      <c r="U1" s="5"/>
      <c r="V1" s="6"/>
    </row>
    <row r="2" customFormat="false" ht="36.75" hidden="false" customHeight="true" outlineLevel="0" collapsed="false">
      <c r="B2" s="7" t="s">
        <v>0</v>
      </c>
      <c r="C2" s="7"/>
      <c r="D2" s="7"/>
      <c r="E2" s="7"/>
      <c r="F2" s="7"/>
      <c r="G2" s="7"/>
      <c r="H2" s="7"/>
      <c r="I2" s="7"/>
      <c r="J2" s="7"/>
      <c r="K2" s="7"/>
      <c r="L2" s="7"/>
      <c r="M2" s="7"/>
      <c r="N2" s="7"/>
      <c r="O2" s="7"/>
      <c r="P2" s="7"/>
      <c r="Q2" s="7"/>
      <c r="R2" s="7"/>
      <c r="S2" s="7"/>
      <c r="T2" s="7"/>
      <c r="U2" s="7"/>
      <c r="V2" s="7"/>
      <c r="W2" s="7"/>
      <c r="X2" s="8"/>
      <c r="Y2" s="8"/>
      <c r="Z2" s="8"/>
      <c r="AA2" s="8"/>
      <c r="AB2" s="8"/>
      <c r="AC2" s="8"/>
      <c r="AD2" s="8"/>
      <c r="AE2" s="8"/>
      <c r="AF2" s="8"/>
      <c r="AG2" s="8"/>
      <c r="AH2" s="8"/>
      <c r="AI2" s="8"/>
    </row>
    <row r="3" s="1" customFormat="true" ht="15.75" hidden="false" customHeight="false" outlineLevel="0" collapsed="false">
      <c r="B3" s="5"/>
      <c r="C3" s="5"/>
      <c r="D3" s="5"/>
      <c r="E3" s="5"/>
      <c r="F3" s="5"/>
      <c r="G3" s="5"/>
      <c r="H3" s="5"/>
      <c r="I3" s="5"/>
      <c r="J3" s="5"/>
      <c r="K3" s="5"/>
      <c r="L3" s="5"/>
      <c r="M3" s="5"/>
      <c r="N3" s="5"/>
      <c r="O3" s="5"/>
      <c r="P3" s="5"/>
      <c r="Q3" s="5"/>
      <c r="R3" s="5"/>
      <c r="S3" s="5"/>
      <c r="T3" s="5"/>
      <c r="U3" s="5"/>
      <c r="V3" s="9"/>
      <c r="W3" s="5"/>
    </row>
    <row r="4" customFormat="false" ht="35.25" hidden="false" customHeight="true" outlineLevel="0" collapsed="false">
      <c r="B4" s="10" t="s">
        <v>1</v>
      </c>
      <c r="C4" s="10" t="s">
        <v>2</v>
      </c>
      <c r="D4" s="10" t="s">
        <v>3</v>
      </c>
      <c r="E4" s="10" t="s">
        <v>4</v>
      </c>
      <c r="F4" s="10" t="s">
        <v>5</v>
      </c>
      <c r="G4" s="10" t="s">
        <v>6</v>
      </c>
      <c r="H4" s="10"/>
      <c r="I4" s="10"/>
      <c r="J4" s="10"/>
      <c r="K4" s="10"/>
      <c r="L4" s="10"/>
      <c r="M4" s="10"/>
      <c r="N4" s="10"/>
      <c r="O4" s="10"/>
      <c r="P4" s="10"/>
      <c r="Q4" s="10"/>
      <c r="R4" s="10"/>
      <c r="S4" s="10"/>
      <c r="T4" s="10"/>
      <c r="U4" s="10"/>
      <c r="V4" s="11" t="s">
        <v>7</v>
      </c>
      <c r="W4" s="5"/>
      <c r="X4" s="1"/>
      <c r="Y4" s="1"/>
      <c r="Z4" s="1"/>
      <c r="AA4" s="1"/>
      <c r="AB4" s="1"/>
      <c r="AC4" s="1"/>
    </row>
    <row r="5" customFormat="false" ht="70.5" hidden="false" customHeight="true" outlineLevel="0" collapsed="false">
      <c r="B5" s="12"/>
      <c r="C5" s="12"/>
      <c r="D5" s="12"/>
      <c r="E5" s="12"/>
      <c r="F5" s="13" t="s">
        <v>8</v>
      </c>
      <c r="G5" s="13" t="s">
        <v>9</v>
      </c>
      <c r="H5" s="13" t="s">
        <v>10</v>
      </c>
      <c r="I5" s="13" t="s">
        <v>11</v>
      </c>
      <c r="J5" s="13" t="s">
        <v>12</v>
      </c>
      <c r="K5" s="13" t="s">
        <v>13</v>
      </c>
      <c r="L5" s="13" t="s">
        <v>14</v>
      </c>
      <c r="M5" s="13" t="s">
        <v>15</v>
      </c>
      <c r="N5" s="13" t="s">
        <v>16</v>
      </c>
      <c r="O5" s="13" t="s">
        <v>17</v>
      </c>
      <c r="P5" s="13" t="s">
        <v>18</v>
      </c>
      <c r="Q5" s="13" t="s">
        <v>19</v>
      </c>
      <c r="R5" s="13" t="s">
        <v>20</v>
      </c>
      <c r="S5" s="13" t="s">
        <v>21</v>
      </c>
      <c r="T5" s="13" t="s">
        <v>22</v>
      </c>
      <c r="U5" s="13" t="s">
        <v>23</v>
      </c>
      <c r="V5" s="14"/>
      <c r="W5" s="5"/>
      <c r="X5" s="1"/>
      <c r="Y5" s="1"/>
      <c r="Z5" s="1"/>
      <c r="AA5" s="1"/>
      <c r="AB5" s="1"/>
      <c r="AC5" s="1"/>
    </row>
    <row r="6" s="1" customFormat="true" ht="105.75" hidden="false" customHeight="true" outlineLevel="0" collapsed="false">
      <c r="B6" s="1" t="s">
        <v>24</v>
      </c>
      <c r="C6" s="1" t="s">
        <v>25</v>
      </c>
      <c r="D6" s="1" t="s">
        <v>26</v>
      </c>
      <c r="E6" s="1" t="s">
        <v>27</v>
      </c>
      <c r="F6" s="1" t="s">
        <v>28</v>
      </c>
      <c r="G6" s="5" t="s">
        <v>29</v>
      </c>
      <c r="H6" s="5" t="s">
        <v>30</v>
      </c>
      <c r="I6" s="5" t="s">
        <v>31</v>
      </c>
      <c r="J6" s="5" t="s">
        <v>32</v>
      </c>
      <c r="K6" s="5" t="s">
        <v>33</v>
      </c>
      <c r="L6" s="5" t="s">
        <v>34</v>
      </c>
      <c r="M6" s="5" t="s">
        <v>35</v>
      </c>
      <c r="N6" s="5" t="s">
        <v>36</v>
      </c>
      <c r="O6" s="5" t="s">
        <v>37</v>
      </c>
      <c r="P6" s="5" t="s">
        <v>38</v>
      </c>
      <c r="Q6" s="5" t="s">
        <v>39</v>
      </c>
      <c r="R6" s="5" t="s">
        <v>40</v>
      </c>
      <c r="S6" s="5" t="s">
        <v>41</v>
      </c>
      <c r="T6" s="5" t="s">
        <v>42</v>
      </c>
      <c r="U6" s="5" t="s">
        <v>43</v>
      </c>
      <c r="V6" s="15" t="s">
        <v>44</v>
      </c>
    </row>
    <row r="7" s="16" customFormat="true" ht="8.25" hidden="false" customHeight="true" outlineLevel="0" collapsed="false">
      <c r="G7" s="17"/>
      <c r="H7" s="17"/>
      <c r="I7" s="17"/>
      <c r="J7" s="17"/>
      <c r="K7" s="17"/>
      <c r="L7" s="17"/>
      <c r="M7" s="17"/>
      <c r="N7" s="17"/>
      <c r="O7" s="17"/>
      <c r="P7" s="17"/>
      <c r="Q7" s="17"/>
      <c r="R7" s="17"/>
      <c r="S7" s="17"/>
      <c r="T7" s="17"/>
      <c r="U7" s="17"/>
      <c r="V7" s="18"/>
    </row>
    <row r="8" s="1" customFormat="true" ht="15.75" hidden="false" customHeight="false" outlineLevel="0" collapsed="false">
      <c r="F8" s="1" t="s">
        <v>45</v>
      </c>
      <c r="G8" s="5" t="s">
        <v>46</v>
      </c>
      <c r="H8" s="5" t="s">
        <v>47</v>
      </c>
      <c r="I8" s="5" t="s">
        <v>47</v>
      </c>
      <c r="J8" s="5" t="n">
        <v>350</v>
      </c>
      <c r="K8" s="5" t="n">
        <v>300</v>
      </c>
      <c r="L8" s="5" t="s">
        <v>47</v>
      </c>
      <c r="M8" s="5" t="s">
        <v>47</v>
      </c>
      <c r="N8" s="5" t="s">
        <v>47</v>
      </c>
      <c r="O8" s="5" t="s">
        <v>48</v>
      </c>
      <c r="P8" s="5" t="s">
        <v>49</v>
      </c>
      <c r="Q8" s="5" t="s">
        <v>50</v>
      </c>
      <c r="R8" s="5" t="s">
        <v>47</v>
      </c>
      <c r="S8" s="5" t="s">
        <v>47</v>
      </c>
      <c r="T8" s="5" t="s">
        <v>47</v>
      </c>
      <c r="U8" s="5" t="s">
        <v>47</v>
      </c>
    </row>
    <row r="9" s="1" customFormat="true" ht="15.75" hidden="false" customHeight="false" outlineLevel="0" collapsed="false">
      <c r="F9" s="1" t="s">
        <v>51</v>
      </c>
      <c r="G9" s="5" t="s">
        <v>52</v>
      </c>
      <c r="H9" s="5" t="s">
        <v>53</v>
      </c>
      <c r="I9" s="5" t="s">
        <v>53</v>
      </c>
      <c r="J9" s="5" t="n">
        <v>250</v>
      </c>
      <c r="K9" s="5" t="n">
        <v>200</v>
      </c>
      <c r="L9" s="5" t="s">
        <v>53</v>
      </c>
      <c r="M9" s="5" t="s">
        <v>53</v>
      </c>
      <c r="N9" s="5" t="s">
        <v>53</v>
      </c>
      <c r="O9" s="5" t="s">
        <v>54</v>
      </c>
      <c r="P9" s="5" t="s">
        <v>55</v>
      </c>
      <c r="Q9" s="5" t="s">
        <v>56</v>
      </c>
      <c r="R9" s="5" t="s">
        <v>53</v>
      </c>
      <c r="S9" s="5" t="s">
        <v>53</v>
      </c>
      <c r="T9" s="5" t="s">
        <v>53</v>
      </c>
      <c r="U9" s="5" t="s">
        <v>53</v>
      </c>
      <c r="V9" s="6"/>
    </row>
    <row r="10" s="1" customFormat="true" ht="15.75" hidden="false" customHeight="false" outlineLevel="0" collapsed="false">
      <c r="F10" s="1" t="s">
        <v>57</v>
      </c>
      <c r="G10" s="19" t="s">
        <v>58</v>
      </c>
      <c r="H10" s="19"/>
      <c r="I10" s="19"/>
      <c r="J10" s="5" t="n">
        <v>180</v>
      </c>
      <c r="K10" s="19" t="n">
        <v>150</v>
      </c>
      <c r="L10" s="19"/>
      <c r="M10" s="19"/>
      <c r="N10" s="19"/>
      <c r="O10" s="5" t="s">
        <v>59</v>
      </c>
      <c r="P10" s="5" t="s">
        <v>60</v>
      </c>
      <c r="Q10" s="19" t="s">
        <v>61</v>
      </c>
      <c r="R10" s="19" t="s">
        <v>58</v>
      </c>
      <c r="S10" s="19"/>
      <c r="T10" s="19"/>
      <c r="U10" s="19"/>
      <c r="V10" s="6"/>
    </row>
    <row r="11" s="1" customFormat="true" ht="15.75" hidden="false" customHeight="false" outlineLevel="0" collapsed="false">
      <c r="F11" s="1" t="s">
        <v>62</v>
      </c>
      <c r="G11" s="5"/>
      <c r="H11" s="5"/>
      <c r="I11" s="5"/>
      <c r="J11" s="5" t="n">
        <v>130</v>
      </c>
      <c r="K11" s="5" t="s">
        <v>58</v>
      </c>
      <c r="L11" s="5"/>
      <c r="M11" s="5"/>
      <c r="N11" s="5"/>
      <c r="O11" s="5" t="s">
        <v>63</v>
      </c>
      <c r="P11" s="5"/>
      <c r="Q11" s="5"/>
      <c r="R11" s="5"/>
      <c r="S11" s="5"/>
      <c r="T11" s="5"/>
      <c r="U11" s="5"/>
      <c r="V11" s="6"/>
    </row>
    <row r="12" s="1" customFormat="true" ht="15.75" hidden="false" customHeight="false" outlineLevel="0" collapsed="false">
      <c r="G12" s="5"/>
      <c r="H12" s="5"/>
      <c r="I12" s="5"/>
      <c r="J12" s="5" t="n">
        <v>90</v>
      </c>
      <c r="K12" s="5"/>
      <c r="L12" s="5"/>
      <c r="M12" s="5"/>
      <c r="N12" s="5"/>
      <c r="O12" s="5" t="s">
        <v>64</v>
      </c>
      <c r="P12" s="5"/>
      <c r="Q12" s="5"/>
      <c r="R12" s="5"/>
      <c r="S12" s="5"/>
      <c r="T12" s="5"/>
      <c r="U12" s="5"/>
      <c r="V12" s="6"/>
    </row>
    <row r="13" s="1" customFormat="true" ht="15.75" hidden="false" customHeight="false" outlineLevel="0" collapsed="false">
      <c r="G13" s="5"/>
      <c r="H13" s="5"/>
      <c r="I13" s="5"/>
      <c r="J13" s="5" t="n">
        <v>65</v>
      </c>
      <c r="K13" s="5"/>
      <c r="L13" s="5"/>
      <c r="M13" s="5"/>
      <c r="N13" s="5"/>
      <c r="O13" s="5" t="s">
        <v>65</v>
      </c>
      <c r="P13" s="5"/>
      <c r="Q13" s="5"/>
      <c r="R13" s="5"/>
      <c r="S13" s="5"/>
      <c r="T13" s="5"/>
      <c r="U13" s="5"/>
      <c r="V13" s="6"/>
    </row>
    <row r="14" s="1" customFormat="true" ht="15.75" hidden="false" customHeight="false" outlineLevel="0" collapsed="false">
      <c r="G14" s="5"/>
      <c r="H14" s="5"/>
      <c r="I14" s="5"/>
      <c r="J14" s="5" t="n">
        <v>60</v>
      </c>
      <c r="K14" s="5"/>
      <c r="L14" s="5"/>
      <c r="M14" s="5"/>
      <c r="N14" s="5"/>
      <c r="O14" s="5" t="s">
        <v>66</v>
      </c>
      <c r="P14" s="5"/>
      <c r="Q14" s="5"/>
      <c r="R14" s="5"/>
      <c r="S14" s="5"/>
      <c r="T14" s="5"/>
      <c r="U14" s="5"/>
      <c r="V14" s="6"/>
    </row>
    <row r="15" s="1" customFormat="true" ht="15.75" hidden="false" customHeight="false" outlineLevel="0" collapsed="false">
      <c r="G15" s="5"/>
      <c r="H15" s="5"/>
      <c r="I15" s="5"/>
      <c r="J15" s="5" t="n">
        <v>57</v>
      </c>
      <c r="K15" s="5"/>
      <c r="L15" s="5"/>
      <c r="M15" s="5"/>
      <c r="N15" s="5"/>
      <c r="O15" s="5"/>
      <c r="P15" s="5"/>
      <c r="Q15" s="5"/>
      <c r="R15" s="5"/>
      <c r="S15" s="5"/>
      <c r="T15" s="5"/>
      <c r="U15" s="5"/>
      <c r="V15" s="6"/>
    </row>
    <row r="16" s="1" customFormat="true" ht="15.75" hidden="false" customHeight="false" outlineLevel="0" collapsed="false">
      <c r="G16" s="5"/>
      <c r="H16" s="5"/>
      <c r="I16" s="5"/>
      <c r="J16" s="5" t="n">
        <v>45</v>
      </c>
      <c r="K16" s="5"/>
      <c r="L16" s="5"/>
      <c r="M16" s="5"/>
      <c r="N16" s="5"/>
      <c r="O16" s="5"/>
      <c r="P16" s="5"/>
      <c r="Q16" s="5"/>
      <c r="R16" s="5"/>
      <c r="S16" s="5"/>
      <c r="T16" s="5"/>
      <c r="U16" s="5"/>
      <c r="V16" s="6"/>
    </row>
    <row r="17" s="1" customFormat="true" ht="15.75" hidden="false" customHeight="false" outlineLevel="0" collapsed="false">
      <c r="G17" s="5"/>
      <c r="H17" s="5"/>
      <c r="I17" s="5"/>
      <c r="J17" s="5" t="n">
        <v>32</v>
      </c>
      <c r="K17" s="5"/>
      <c r="L17" s="5"/>
      <c r="M17" s="5"/>
      <c r="N17" s="5"/>
      <c r="O17" s="5"/>
      <c r="P17" s="5"/>
      <c r="Q17" s="5"/>
      <c r="R17" s="5"/>
      <c r="S17" s="5"/>
      <c r="T17" s="5"/>
      <c r="U17" s="5"/>
      <c r="V17" s="6"/>
    </row>
    <row r="18" s="1" customFormat="true" ht="15.75" hidden="false" customHeight="false" outlineLevel="0" collapsed="false">
      <c r="G18" s="5"/>
      <c r="H18" s="5"/>
      <c r="I18" s="5"/>
      <c r="J18" s="19" t="n">
        <v>28</v>
      </c>
      <c r="K18" s="5"/>
      <c r="L18" s="5"/>
      <c r="M18" s="5"/>
      <c r="N18" s="5"/>
      <c r="O18" s="5"/>
      <c r="P18" s="5"/>
      <c r="Q18" s="5"/>
      <c r="R18" s="5"/>
      <c r="S18" s="5"/>
      <c r="T18" s="5"/>
      <c r="U18" s="5"/>
      <c r="V18" s="6"/>
    </row>
    <row r="19" s="1" customFormat="true" ht="15.75" hidden="false" customHeight="false" outlineLevel="0" collapsed="false">
      <c r="G19" s="5"/>
      <c r="H19" s="5"/>
      <c r="I19" s="5"/>
      <c r="J19" s="5" t="n">
        <v>22</v>
      </c>
      <c r="K19" s="5"/>
      <c r="L19" s="5"/>
      <c r="M19" s="5"/>
      <c r="N19" s="5"/>
      <c r="O19" s="5"/>
      <c r="P19" s="5"/>
      <c r="Q19" s="5"/>
      <c r="R19" s="5"/>
      <c r="S19" s="5"/>
      <c r="T19" s="5"/>
      <c r="U19" s="5"/>
      <c r="V19" s="6"/>
    </row>
    <row r="20" s="1" customFormat="true" ht="15.75" hidden="false" customHeight="false" outlineLevel="0" collapsed="false">
      <c r="G20" s="5"/>
      <c r="H20" s="5"/>
      <c r="I20" s="5"/>
      <c r="J20" s="19" t="n">
        <v>20</v>
      </c>
      <c r="K20" s="5"/>
      <c r="L20" s="5"/>
      <c r="M20" s="5"/>
      <c r="N20" s="5"/>
      <c r="O20" s="5"/>
      <c r="P20" s="5"/>
      <c r="Q20" s="5"/>
      <c r="R20" s="5"/>
      <c r="S20" s="5"/>
      <c r="T20" s="5"/>
      <c r="U20" s="5"/>
      <c r="V20" s="6"/>
    </row>
    <row r="21" s="1" customFormat="true" ht="15.75" hidden="false" customHeight="false" outlineLevel="0" collapsed="false">
      <c r="G21" s="5"/>
      <c r="H21" s="5"/>
      <c r="I21" s="5"/>
      <c r="J21" s="19" t="n">
        <v>14</v>
      </c>
      <c r="K21" s="5"/>
      <c r="L21" s="5"/>
      <c r="M21" s="5"/>
      <c r="N21" s="5"/>
      <c r="O21" s="5"/>
      <c r="P21" s="5"/>
      <c r="Q21" s="5"/>
      <c r="R21" s="5"/>
      <c r="S21" s="5"/>
      <c r="T21" s="5"/>
      <c r="U21" s="5"/>
      <c r="V21" s="6"/>
    </row>
    <row r="22" s="1" customFormat="true" ht="15.75" hidden="false" customHeight="false" outlineLevel="0" collapsed="false">
      <c r="G22" s="5"/>
      <c r="H22" s="5"/>
      <c r="I22" s="5"/>
      <c r="J22" s="19" t="n">
        <v>10</v>
      </c>
      <c r="K22" s="5"/>
      <c r="L22" s="5"/>
      <c r="M22" s="5"/>
      <c r="N22" s="5"/>
      <c r="O22" s="5"/>
      <c r="P22" s="5"/>
      <c r="Q22" s="5"/>
      <c r="R22" s="5"/>
      <c r="S22" s="5"/>
      <c r="T22" s="5"/>
      <c r="U22" s="5"/>
      <c r="V22" s="6"/>
    </row>
    <row r="23" s="1" customFormat="true" ht="15.75" hidden="false" customHeight="false" outlineLevel="0" collapsed="false">
      <c r="G23" s="5"/>
      <c r="H23" s="5"/>
      <c r="I23" s="5"/>
      <c r="J23" s="19" t="n">
        <v>8</v>
      </c>
      <c r="K23" s="5"/>
      <c r="L23" s="5"/>
      <c r="M23" s="5"/>
      <c r="N23" s="5"/>
      <c r="O23" s="5"/>
      <c r="P23" s="5"/>
      <c r="Q23" s="5"/>
      <c r="R23" s="5"/>
      <c r="S23" s="5"/>
      <c r="T23" s="5"/>
      <c r="U23" s="5"/>
      <c r="V23" s="6"/>
    </row>
    <row r="24" s="1" customFormat="true" ht="15.75" hidden="false" customHeight="false" outlineLevel="0" collapsed="false">
      <c r="G24" s="5"/>
      <c r="H24" s="5"/>
      <c r="I24" s="5"/>
      <c r="J24" s="19" t="n">
        <v>7</v>
      </c>
      <c r="K24" s="5"/>
      <c r="L24" s="5"/>
      <c r="M24" s="5"/>
      <c r="N24" s="5"/>
      <c r="O24" s="5"/>
      <c r="P24" s="5"/>
      <c r="Q24" s="5"/>
      <c r="R24" s="5"/>
      <c r="S24" s="5"/>
      <c r="T24" s="5"/>
      <c r="U24" s="5"/>
      <c r="V24" s="6"/>
    </row>
    <row r="25" s="1" customFormat="true" ht="15.75" hidden="false" customHeight="false" outlineLevel="0" collapsed="false">
      <c r="G25" s="5"/>
      <c r="H25" s="5"/>
      <c r="I25" s="5"/>
      <c r="J25" s="19" t="n">
        <v>6</v>
      </c>
      <c r="K25" s="5"/>
      <c r="L25" s="5"/>
      <c r="M25" s="5"/>
      <c r="N25" s="5"/>
      <c r="O25" s="5"/>
      <c r="P25" s="5"/>
      <c r="Q25" s="5"/>
      <c r="R25" s="5"/>
      <c r="S25" s="5"/>
      <c r="T25" s="5"/>
      <c r="U25" s="5"/>
      <c r="V25" s="6"/>
    </row>
    <row r="26" s="1" customFormat="true" ht="15.75" hidden="false" customHeight="false" outlineLevel="0" collapsed="false">
      <c r="G26" s="5"/>
      <c r="H26" s="5"/>
      <c r="I26" s="5"/>
      <c r="J26" s="19" t="n">
        <v>5</v>
      </c>
      <c r="K26" s="5"/>
      <c r="L26" s="5"/>
      <c r="M26" s="5"/>
      <c r="N26" s="5"/>
      <c r="O26" s="5"/>
      <c r="P26" s="5"/>
      <c r="Q26" s="5"/>
      <c r="R26" s="5"/>
      <c r="S26" s="5"/>
      <c r="T26" s="5"/>
      <c r="U26" s="5"/>
      <c r="V26" s="6"/>
    </row>
    <row r="27" s="1" customFormat="true" ht="15.75" hidden="false" customHeight="false" outlineLevel="0" collapsed="false">
      <c r="G27" s="5"/>
      <c r="H27" s="5"/>
      <c r="I27" s="5"/>
      <c r="J27" s="19" t="n">
        <v>3</v>
      </c>
      <c r="K27" s="5"/>
      <c r="L27" s="5"/>
      <c r="M27" s="5"/>
      <c r="N27" s="5"/>
      <c r="O27" s="5"/>
      <c r="P27" s="5"/>
      <c r="Q27" s="5"/>
      <c r="R27" s="5"/>
      <c r="S27" s="5"/>
      <c r="T27" s="5"/>
      <c r="U27" s="5"/>
      <c r="V27" s="6"/>
    </row>
    <row r="28" s="1" customFormat="true" ht="15.75" hidden="false" customHeight="false" outlineLevel="0" collapsed="false">
      <c r="G28" s="5"/>
      <c r="H28" s="5"/>
      <c r="I28" s="5"/>
      <c r="J28" s="5" t="s">
        <v>58</v>
      </c>
      <c r="K28" s="5"/>
      <c r="L28" s="5"/>
      <c r="M28" s="5"/>
      <c r="N28" s="5"/>
      <c r="O28" s="5"/>
      <c r="P28" s="5"/>
      <c r="Q28" s="5"/>
      <c r="R28" s="5"/>
      <c r="S28" s="5"/>
      <c r="T28" s="5"/>
      <c r="U28" s="5"/>
      <c r="V28" s="6"/>
    </row>
    <row r="29" s="16" customFormat="true" ht="8.25" hidden="false" customHeight="true" outlineLevel="0" collapsed="false">
      <c r="G29" s="17"/>
      <c r="H29" s="17"/>
      <c r="I29" s="17"/>
      <c r="J29" s="17"/>
      <c r="K29" s="17"/>
      <c r="L29" s="17"/>
      <c r="M29" s="17"/>
      <c r="N29" s="17"/>
      <c r="O29" s="17"/>
      <c r="P29" s="17"/>
      <c r="Q29" s="17"/>
      <c r="R29" s="17"/>
      <c r="S29" s="17"/>
      <c r="T29" s="17"/>
      <c r="U29" s="17"/>
      <c r="V29" s="18"/>
    </row>
    <row r="30" s="1" customFormat="true" ht="15.75" hidden="false" customHeight="false" outlineLevel="0" collapsed="false">
      <c r="G30" s="5"/>
      <c r="H30" s="5"/>
      <c r="I30" s="5"/>
      <c r="J30" s="5"/>
      <c r="K30" s="5"/>
      <c r="L30" s="5"/>
      <c r="M30" s="5"/>
      <c r="N30" s="5"/>
      <c r="O30" s="5"/>
      <c r="P30" s="5"/>
      <c r="Q30" s="5"/>
      <c r="R30" s="5"/>
      <c r="S30" s="5"/>
      <c r="T30" s="5"/>
      <c r="U30" s="5"/>
      <c r="V30" s="6"/>
    </row>
    <row r="31" s="1" customFormat="true" ht="15.75" hidden="false" customHeight="false" outlineLevel="0" collapsed="false">
      <c r="G31" s="5"/>
      <c r="H31" s="5"/>
      <c r="I31" s="5"/>
      <c r="J31" s="5"/>
      <c r="K31" s="5"/>
      <c r="L31" s="5"/>
      <c r="M31" s="5"/>
      <c r="N31" s="5"/>
      <c r="O31" s="5"/>
      <c r="P31" s="5"/>
      <c r="Q31" s="5"/>
      <c r="R31" s="5"/>
      <c r="S31" s="5"/>
      <c r="T31" s="5"/>
      <c r="U31" s="5"/>
      <c r="V31" s="6"/>
    </row>
    <row r="32" s="1" customFormat="true" ht="15.75" hidden="false" customHeight="false" outlineLevel="0" collapsed="false">
      <c r="G32" s="5"/>
      <c r="H32" s="5"/>
      <c r="I32" s="5"/>
      <c r="J32" s="5"/>
      <c r="K32" s="5"/>
      <c r="L32" s="5"/>
      <c r="M32" s="5"/>
      <c r="N32" s="5"/>
      <c r="O32" s="5"/>
      <c r="P32" s="5"/>
      <c r="Q32" s="5"/>
      <c r="R32" s="5"/>
      <c r="S32" s="5"/>
      <c r="T32" s="5"/>
      <c r="U32" s="5"/>
      <c r="V32" s="6"/>
    </row>
    <row r="33" s="1" customFormat="true" ht="15.75" hidden="false" customHeight="false" outlineLevel="0" collapsed="false">
      <c r="G33" s="5"/>
      <c r="H33" s="5"/>
      <c r="I33" s="5"/>
      <c r="J33" s="5"/>
      <c r="K33" s="5"/>
      <c r="L33" s="5"/>
      <c r="M33" s="5"/>
      <c r="N33" s="5"/>
      <c r="O33" s="5"/>
      <c r="P33" s="5"/>
      <c r="Q33" s="5"/>
      <c r="R33" s="5"/>
      <c r="S33" s="5"/>
      <c r="T33" s="5"/>
      <c r="U33" s="5"/>
      <c r="V33" s="6"/>
    </row>
    <row r="34" s="1" customFormat="true" ht="15.75" hidden="false" customHeight="false" outlineLevel="0" collapsed="false">
      <c r="G34" s="5"/>
      <c r="H34" s="5"/>
      <c r="I34" s="5"/>
      <c r="J34" s="5"/>
      <c r="K34" s="5"/>
      <c r="L34" s="5"/>
      <c r="M34" s="5"/>
      <c r="N34" s="5"/>
      <c r="O34" s="5"/>
      <c r="P34" s="5"/>
      <c r="Q34" s="5"/>
      <c r="R34" s="5"/>
      <c r="S34" s="5"/>
      <c r="T34" s="5"/>
      <c r="U34" s="5"/>
      <c r="V34" s="6"/>
    </row>
    <row r="35" s="1" customFormat="true" ht="15.75" hidden="false" customHeight="false" outlineLevel="0" collapsed="false">
      <c r="G35" s="5"/>
      <c r="H35" s="5"/>
      <c r="I35" s="5"/>
      <c r="J35" s="5"/>
      <c r="K35" s="5"/>
      <c r="L35" s="5"/>
      <c r="M35" s="5"/>
      <c r="N35" s="5"/>
      <c r="O35" s="5"/>
      <c r="P35" s="5"/>
      <c r="Q35" s="5"/>
      <c r="R35" s="5"/>
      <c r="S35" s="5"/>
      <c r="T35" s="5"/>
      <c r="U35" s="5"/>
      <c r="V35" s="6"/>
    </row>
    <row r="36" s="1" customFormat="true" ht="15.75" hidden="false" customHeight="false" outlineLevel="0" collapsed="false">
      <c r="G36" s="5"/>
      <c r="H36" s="5"/>
      <c r="I36" s="5"/>
      <c r="J36" s="5"/>
      <c r="K36" s="5"/>
      <c r="L36" s="5"/>
      <c r="M36" s="5"/>
      <c r="N36" s="5"/>
      <c r="O36" s="5"/>
      <c r="P36" s="5"/>
      <c r="Q36" s="5"/>
      <c r="R36" s="5"/>
      <c r="S36" s="5"/>
      <c r="T36" s="5"/>
      <c r="U36" s="5"/>
      <c r="V36" s="6"/>
    </row>
    <row r="37" s="1" customFormat="true" ht="15.75" hidden="false" customHeight="false" outlineLevel="0" collapsed="false">
      <c r="G37" s="5"/>
      <c r="H37" s="5"/>
      <c r="I37" s="5"/>
      <c r="J37" s="5"/>
      <c r="K37" s="5"/>
      <c r="L37" s="5"/>
      <c r="M37" s="5"/>
      <c r="N37" s="5"/>
      <c r="O37" s="5"/>
      <c r="P37" s="5"/>
      <c r="Q37" s="5"/>
      <c r="R37" s="5"/>
      <c r="S37" s="5"/>
      <c r="T37" s="5"/>
      <c r="U37" s="5"/>
      <c r="V37" s="6"/>
    </row>
    <row r="38" s="1" customFormat="true" ht="15.75" hidden="false" customHeight="false" outlineLevel="0" collapsed="false">
      <c r="G38" s="5"/>
      <c r="H38" s="5"/>
      <c r="I38" s="5"/>
      <c r="J38" s="5"/>
      <c r="K38" s="5"/>
      <c r="L38" s="5"/>
      <c r="M38" s="5"/>
      <c r="N38" s="5"/>
      <c r="O38" s="5"/>
      <c r="P38" s="5"/>
      <c r="Q38" s="5"/>
      <c r="R38" s="5"/>
      <c r="S38" s="5"/>
      <c r="T38" s="5"/>
      <c r="U38" s="5"/>
      <c r="V38" s="6"/>
    </row>
  </sheetData>
  <mergeCells count="2">
    <mergeCell ref="B2:W2"/>
    <mergeCell ref="G4:U4"/>
  </mergeCell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BD55"/>
  <sheetViews>
    <sheetView showFormulas="false" showGridLines="true" showRowColHeaders="true" showZeros="true" rightToLeft="false" tabSelected="false" showOutlineSymbols="true" defaultGridColor="true" view="normal" topLeftCell="B1" colorId="64" zoomScale="100" zoomScaleNormal="100" zoomScalePageLayoutView="100" workbookViewId="0">
      <selection pane="topLeft" activeCell="W4" activeCellId="0" sqref="W4"/>
    </sheetView>
  </sheetViews>
  <sheetFormatPr defaultColWidth="8.5" defaultRowHeight="15.75" zeroHeight="false" outlineLevelRow="0" outlineLevelCol="0"/>
  <cols>
    <col collapsed="false" customWidth="true" hidden="false" outlineLevel="0" max="2" min="2" style="0" width="39.37"/>
    <col collapsed="false" customWidth="true" hidden="false" outlineLevel="0" max="3" min="3" style="0" width="7.37"/>
  </cols>
  <sheetData>
    <row r="2" customFormat="false" ht="15.75" hidden="false" customHeight="true" outlineLevel="0" collapsed="false">
      <c r="B2" s="178" t="s">
        <v>601</v>
      </c>
      <c r="D2" s="92" t="s">
        <v>508</v>
      </c>
      <c r="E2" s="0" t="s">
        <v>602</v>
      </c>
      <c r="K2" s="107" t="s">
        <v>603</v>
      </c>
      <c r="L2" s="107"/>
      <c r="M2" s="107"/>
      <c r="N2" s="107"/>
      <c r="O2" s="107"/>
      <c r="P2" s="107"/>
      <c r="Q2" s="107"/>
      <c r="R2" s="107"/>
      <c r="S2" s="107"/>
      <c r="T2" s="107"/>
      <c r="U2" s="107"/>
      <c r="V2" s="107"/>
    </row>
    <row r="3" customFormat="false" ht="15.75" hidden="false" customHeight="false" outlineLevel="0" collapsed="false">
      <c r="B3" s="179" t="s">
        <v>604</v>
      </c>
      <c r="K3" s="107"/>
      <c r="L3" s="107"/>
      <c r="M3" s="107"/>
      <c r="N3" s="107"/>
      <c r="O3" s="107"/>
      <c r="P3" s="107"/>
      <c r="Q3" s="107"/>
      <c r="R3" s="107"/>
      <c r="S3" s="107"/>
      <c r="T3" s="107"/>
      <c r="U3" s="107"/>
      <c r="V3" s="107"/>
    </row>
    <row r="4" customFormat="false" ht="15.75" hidden="false" customHeight="false" outlineLevel="0" collapsed="false">
      <c r="B4" s="180" t="s">
        <v>605</v>
      </c>
      <c r="D4" s="119" t="s">
        <v>606</v>
      </c>
    </row>
    <row r="5" customFormat="false" ht="15.75" hidden="false" customHeight="false" outlineLevel="0" collapsed="false">
      <c r="D5" s="181" t="s">
        <v>607</v>
      </c>
      <c r="E5" s="181"/>
      <c r="F5" s="181"/>
      <c r="G5" s="181"/>
      <c r="H5" s="181"/>
      <c r="I5" s="181"/>
      <c r="J5" s="181"/>
      <c r="K5" s="181"/>
      <c r="L5" s="181"/>
      <c r="M5" s="181"/>
      <c r="N5" s="181"/>
      <c r="O5" s="181"/>
      <c r="P5" s="181"/>
      <c r="Q5" s="181"/>
      <c r="R5" s="181"/>
      <c r="S5" s="181"/>
      <c r="T5" s="181"/>
      <c r="U5" s="181"/>
      <c r="V5" s="181"/>
      <c r="X5" s="181" t="s">
        <v>608</v>
      </c>
      <c r="Y5" s="181"/>
      <c r="Z5" s="181"/>
      <c r="AA5" s="181"/>
      <c r="AB5" s="181"/>
      <c r="AC5" s="181"/>
      <c r="AD5" s="181"/>
      <c r="AE5" s="181"/>
      <c r="AF5" s="181"/>
      <c r="AG5" s="181"/>
      <c r="AH5" s="181"/>
      <c r="AI5" s="181"/>
      <c r="AJ5" s="181"/>
      <c r="AK5" s="181"/>
      <c r="AL5" s="181"/>
      <c r="AM5" s="181"/>
      <c r="AN5" s="181"/>
      <c r="AO5" s="181"/>
      <c r="AP5" s="181"/>
      <c r="AR5" s="181" t="s">
        <v>609</v>
      </c>
      <c r="AS5" s="181"/>
      <c r="AT5" s="181"/>
      <c r="AU5" s="181"/>
      <c r="AV5" s="181"/>
      <c r="AW5" s="181"/>
      <c r="AY5" s="181" t="s">
        <v>609</v>
      </c>
      <c r="AZ5" s="181"/>
      <c r="BA5" s="181"/>
      <c r="BB5" s="181"/>
      <c r="BC5" s="181"/>
      <c r="BD5" s="181"/>
    </row>
    <row r="6" customFormat="false" ht="15.75" hidden="false" customHeight="false" outlineLevel="0" collapsed="false">
      <c r="B6" s="111" t="s">
        <v>610</v>
      </c>
      <c r="C6" s="111"/>
      <c r="D6" s="182" t="s">
        <v>611</v>
      </c>
      <c r="J6" s="182" t="s">
        <v>612</v>
      </c>
      <c r="P6" s="183" t="s">
        <v>613</v>
      </c>
      <c r="T6" s="184"/>
      <c r="U6" s="184"/>
      <c r="X6" s="185" t="s">
        <v>614</v>
      </c>
      <c r="AR6" s="182" t="s">
        <v>615</v>
      </c>
      <c r="AY6" s="182" t="s">
        <v>616</v>
      </c>
      <c r="BC6" s="184"/>
    </row>
    <row r="7" s="186" customFormat="true" ht="42" hidden="false" customHeight="true" outlineLevel="0" collapsed="false">
      <c r="B7" s="187"/>
      <c r="C7" s="187"/>
      <c r="D7" s="188"/>
      <c r="G7" s="189" t="s">
        <v>617</v>
      </c>
      <c r="J7" s="188"/>
      <c r="M7" s="189" t="s">
        <v>618</v>
      </c>
      <c r="P7" s="190"/>
      <c r="S7" s="189" t="s">
        <v>619</v>
      </c>
      <c r="T7" s="189" t="s">
        <v>620</v>
      </c>
      <c r="U7" s="189" t="s">
        <v>621</v>
      </c>
      <c r="X7" s="190"/>
      <c r="AB7" s="186" t="s">
        <v>622</v>
      </c>
      <c r="AC7" s="186" t="s">
        <v>623</v>
      </c>
      <c r="AR7" s="188"/>
      <c r="AY7" s="188"/>
      <c r="BC7" s="189" t="s">
        <v>624</v>
      </c>
    </row>
    <row r="8" customFormat="false" ht="15.75" hidden="false" customHeight="false" outlineLevel="0" collapsed="false">
      <c r="B8" s="111" t="s">
        <v>625</v>
      </c>
      <c r="C8" s="111"/>
      <c r="D8" s="182"/>
      <c r="E8" s="0" t="s">
        <v>626</v>
      </c>
      <c r="F8" s="0" t="s">
        <v>627</v>
      </c>
      <c r="G8" s="0" t="s">
        <v>628</v>
      </c>
      <c r="H8" s="0" t="s">
        <v>629</v>
      </c>
      <c r="I8" s="0" t="s">
        <v>630</v>
      </c>
      <c r="J8" s="182"/>
      <c r="K8" s="0" t="s">
        <v>626</v>
      </c>
      <c r="L8" s="0" t="s">
        <v>627</v>
      </c>
      <c r="M8" s="0" t="s">
        <v>628</v>
      </c>
      <c r="N8" s="0" t="s">
        <v>629</v>
      </c>
      <c r="O8" s="0" t="s">
        <v>630</v>
      </c>
      <c r="P8" s="191"/>
      <c r="Q8" s="0" t="s">
        <v>626</v>
      </c>
      <c r="R8" s="0" t="s">
        <v>627</v>
      </c>
      <c r="S8" s="0" t="s">
        <v>628</v>
      </c>
      <c r="T8" s="0" t="s">
        <v>629</v>
      </c>
      <c r="U8" s="0" t="s">
        <v>629</v>
      </c>
      <c r="V8" s="0" t="s">
        <v>630</v>
      </c>
      <c r="X8" s="191"/>
      <c r="Y8" s="0" t="s">
        <v>626</v>
      </c>
      <c r="Z8" s="0" t="s">
        <v>627</v>
      </c>
      <c r="AA8" s="0" t="s">
        <v>628</v>
      </c>
      <c r="AB8" s="0" t="s">
        <v>629</v>
      </c>
      <c r="AC8" s="0" t="s">
        <v>629</v>
      </c>
      <c r="AD8" s="0" t="s">
        <v>630</v>
      </c>
      <c r="AR8" s="182"/>
      <c r="AS8" s="0" t="s">
        <v>626</v>
      </c>
      <c r="AT8" s="0" t="s">
        <v>627</v>
      </c>
      <c r="AU8" s="0" t="s">
        <v>628</v>
      </c>
      <c r="AV8" s="0" t="s">
        <v>629</v>
      </c>
      <c r="AW8" s="0" t="s">
        <v>630</v>
      </c>
      <c r="AY8" s="182"/>
      <c r="AZ8" s="0" t="s">
        <v>626</v>
      </c>
      <c r="BA8" s="0" t="s">
        <v>627</v>
      </c>
      <c r="BB8" s="0" t="s">
        <v>628</v>
      </c>
      <c r="BC8" s="0" t="s">
        <v>629</v>
      </c>
      <c r="BD8" s="0" t="s">
        <v>630</v>
      </c>
    </row>
    <row r="9" customFormat="false" ht="15.75" hidden="false" customHeight="false" outlineLevel="0" collapsed="false">
      <c r="C9" s="111" t="n">
        <v>2001</v>
      </c>
      <c r="D9" s="182"/>
      <c r="E9" s="0" t="n">
        <f aca="false">E35*Parameters!$C$7*Parameters!$C$12</f>
        <v>5.4</v>
      </c>
      <c r="F9" s="192"/>
      <c r="G9" s="192"/>
      <c r="H9" s="192"/>
      <c r="I9" s="192"/>
      <c r="J9" s="182"/>
      <c r="K9" s="0" t="n">
        <f aca="false">K35*Parameters!$C$7*Parameters!$C$12</f>
        <v>5.4</v>
      </c>
      <c r="L9" s="192"/>
      <c r="M9" s="192"/>
      <c r="N9" s="192"/>
      <c r="O9" s="192"/>
      <c r="P9" s="191"/>
      <c r="Q9" s="0" t="n">
        <f aca="false">Q35*Parameters!$C$7*Parameters!$C$12</f>
        <v>13.5</v>
      </c>
      <c r="R9" s="192"/>
      <c r="S9" s="192"/>
      <c r="T9" s="192"/>
      <c r="U9" s="192"/>
      <c r="V9" s="192"/>
      <c r="X9" s="191"/>
      <c r="Y9" s="0" t="n">
        <f aca="false">Y35+AF35</f>
        <v>12.9</v>
      </c>
      <c r="Z9" s="192"/>
      <c r="AA9" s="192"/>
      <c r="AB9" s="192"/>
      <c r="AC9" s="192"/>
      <c r="AD9" s="192"/>
      <c r="AR9" s="182"/>
      <c r="AS9" s="0" t="n">
        <v>60</v>
      </c>
      <c r="AT9" s="192"/>
      <c r="AU9" s="192"/>
      <c r="AV9" s="192"/>
      <c r="AW9" s="192"/>
      <c r="AY9" s="182"/>
      <c r="AZ9" s="193" t="s">
        <v>631</v>
      </c>
      <c r="BA9" s="192"/>
      <c r="BB9" s="192"/>
      <c r="BC9" s="192"/>
      <c r="BD9" s="192"/>
    </row>
    <row r="10" customFormat="false" ht="15.75" hidden="false" customHeight="false" outlineLevel="0" collapsed="false">
      <c r="C10" s="111" t="n">
        <v>2002</v>
      </c>
      <c r="D10" s="182"/>
      <c r="E10" s="0" t="n">
        <f aca="false">E36*Parameters!$C$7*Parameters!$C$12</f>
        <v>5.4</v>
      </c>
      <c r="F10" s="192"/>
      <c r="G10" s="192"/>
      <c r="H10" s="192"/>
      <c r="I10" s="192"/>
      <c r="J10" s="182"/>
      <c r="K10" s="0" t="n">
        <f aca="false">K36*Parameters!$C$7*Parameters!$C$12</f>
        <v>5.4</v>
      </c>
      <c r="L10" s="192"/>
      <c r="M10" s="192"/>
      <c r="N10" s="192"/>
      <c r="O10" s="192"/>
      <c r="P10" s="191"/>
      <c r="Q10" s="0" t="n">
        <f aca="false">Q36*Parameters!$C$7*Parameters!$C$12</f>
        <v>13.5</v>
      </c>
      <c r="R10" s="192"/>
      <c r="S10" s="192"/>
      <c r="T10" s="192"/>
      <c r="U10" s="192"/>
      <c r="V10" s="192"/>
      <c r="X10" s="191"/>
      <c r="Y10" s="0" t="n">
        <f aca="false">Y36+AF36</f>
        <v>11.9</v>
      </c>
      <c r="Z10" s="192"/>
      <c r="AA10" s="192"/>
      <c r="AB10" s="192"/>
      <c r="AC10" s="192"/>
      <c r="AD10" s="192"/>
      <c r="AR10" s="182"/>
      <c r="AS10" s="0" t="n">
        <v>65</v>
      </c>
      <c r="AT10" s="192"/>
      <c r="AU10" s="192"/>
      <c r="AV10" s="192"/>
      <c r="AW10" s="192"/>
      <c r="AY10" s="182"/>
      <c r="AZ10" s="193"/>
      <c r="BA10" s="192"/>
      <c r="BB10" s="192"/>
      <c r="BC10" s="192"/>
      <c r="BD10" s="192"/>
    </row>
    <row r="11" customFormat="false" ht="15.75" hidden="false" customHeight="false" outlineLevel="0" collapsed="false">
      <c r="C11" s="111" t="n">
        <v>2003</v>
      </c>
      <c r="D11" s="182"/>
      <c r="E11" s="0" t="n">
        <f aca="false">E37*Parameters!$C$7*Parameters!$C$12</f>
        <v>4.05</v>
      </c>
      <c r="F11" s="0" t="n">
        <f aca="false">F37*Parameters!$C$7*Parameters!$C$12</f>
        <v>5.4</v>
      </c>
      <c r="G11" s="192"/>
      <c r="H11" s="192"/>
      <c r="I11" s="192"/>
      <c r="J11" s="182"/>
      <c r="K11" s="0" t="n">
        <f aca="false">K37*Parameters!$C$7*Parameters!$C$12</f>
        <v>4.05</v>
      </c>
      <c r="L11" s="0" t="n">
        <f aca="false">L37*Parameters!$C$7*Parameters!$C$12</f>
        <v>5.4</v>
      </c>
      <c r="M11" s="192"/>
      <c r="N11" s="192"/>
      <c r="O11" s="192"/>
      <c r="P11" s="191"/>
      <c r="Q11" s="0" t="n">
        <f aca="false">Q37*Parameters!$C$7*Parameters!$C$12</f>
        <v>13.5</v>
      </c>
      <c r="R11" s="0" t="n">
        <f aca="false">R37*Parameters!$C$7*Parameters!$C$12</f>
        <v>13.5</v>
      </c>
      <c r="S11" s="192"/>
      <c r="T11" s="192"/>
      <c r="U11" s="192"/>
      <c r="V11" s="192"/>
      <c r="X11" s="191"/>
      <c r="Y11" s="0" t="n">
        <f aca="false">Y37+AF37</f>
        <v>9.5</v>
      </c>
      <c r="Z11" s="0" t="n">
        <f aca="false">Z37+AG37</f>
        <v>15</v>
      </c>
      <c r="AA11" s="192"/>
      <c r="AB11" s="192"/>
      <c r="AC11" s="192"/>
      <c r="AD11" s="192"/>
      <c r="AR11" s="182"/>
      <c r="AS11" s="0" t="n">
        <v>65</v>
      </c>
      <c r="AT11" s="0" t="n">
        <v>65</v>
      </c>
      <c r="AU11" s="192"/>
      <c r="AV11" s="192"/>
      <c r="AW11" s="192"/>
      <c r="AY11" s="182"/>
      <c r="AZ11" s="193"/>
      <c r="BA11" s="193" t="s">
        <v>631</v>
      </c>
      <c r="BB11" s="192"/>
      <c r="BC11" s="192"/>
      <c r="BD11" s="192"/>
    </row>
    <row r="12" customFormat="false" ht="15.75" hidden="false" customHeight="false" outlineLevel="0" collapsed="false">
      <c r="C12" s="111" t="n">
        <v>2004</v>
      </c>
      <c r="D12" s="182"/>
      <c r="E12" s="0" t="n">
        <f aca="false">E38*Parameters!$C$7*Parameters!$C$12</f>
        <v>4.05</v>
      </c>
      <c r="F12" s="0" t="n">
        <f aca="false">F38*Parameters!$C$7*Parameters!$C$12</f>
        <v>5.4</v>
      </c>
      <c r="G12" s="192"/>
      <c r="H12" s="192"/>
      <c r="I12" s="192"/>
      <c r="J12" s="182"/>
      <c r="K12" s="0" t="n">
        <f aca="false">K38*Parameters!$C$7*Parameters!$C$12</f>
        <v>4.05</v>
      </c>
      <c r="L12" s="0" t="n">
        <f aca="false">L38*Parameters!$C$7*Parameters!$C$12</f>
        <v>5.4</v>
      </c>
      <c r="M12" s="192"/>
      <c r="N12" s="192"/>
      <c r="O12" s="192"/>
      <c r="P12" s="191"/>
      <c r="Q12" s="0" t="n">
        <f aca="false">Q38*Parameters!$C$7*Parameters!$C$12</f>
        <v>13.5</v>
      </c>
      <c r="R12" s="0" t="n">
        <f aca="false">R38*Parameters!$C$7*Parameters!$C$12</f>
        <v>13.5</v>
      </c>
      <c r="S12" s="192"/>
      <c r="T12" s="192"/>
      <c r="U12" s="192"/>
      <c r="V12" s="192"/>
      <c r="X12" s="191"/>
      <c r="Y12" s="0" t="n">
        <f aca="false">Y38+AF38</f>
        <v>9.5</v>
      </c>
      <c r="Z12" s="0" t="n">
        <f aca="false">Z38+AG38</f>
        <v>15</v>
      </c>
      <c r="AA12" s="192"/>
      <c r="AB12" s="192"/>
      <c r="AC12" s="192"/>
      <c r="AD12" s="192"/>
      <c r="AR12" s="182"/>
      <c r="AS12" s="0" t="n">
        <v>65</v>
      </c>
      <c r="AT12" s="0" t="n">
        <v>65</v>
      </c>
      <c r="AU12" s="192"/>
      <c r="AV12" s="192"/>
      <c r="AW12" s="192"/>
      <c r="AY12" s="182"/>
      <c r="AZ12" s="193"/>
      <c r="BA12" s="193"/>
      <c r="BB12" s="192"/>
      <c r="BC12" s="192"/>
      <c r="BD12" s="192"/>
    </row>
    <row r="13" customFormat="false" ht="15.75" hidden="false" customHeight="false" outlineLevel="0" collapsed="false">
      <c r="C13" s="111" t="n">
        <v>2005</v>
      </c>
      <c r="D13" s="182"/>
      <c r="E13" s="0" t="n">
        <f aca="false">E39*Parameters!$C$7*Parameters!$C$12</f>
        <v>3.15</v>
      </c>
      <c r="F13" s="0" t="n">
        <f aca="false">F39*Parameters!$C$7*Parameters!$C$12</f>
        <v>5.4</v>
      </c>
      <c r="G13" s="192"/>
      <c r="H13" s="192"/>
      <c r="I13" s="192"/>
      <c r="J13" s="182"/>
      <c r="K13" s="0" t="n">
        <f aca="false">K39*Parameters!$C$7*Parameters!$C$12</f>
        <v>3.15</v>
      </c>
      <c r="L13" s="0" t="n">
        <f aca="false">L39*Parameters!$C$7*Parameters!$C$12</f>
        <v>5.4</v>
      </c>
      <c r="M13" s="192"/>
      <c r="N13" s="192"/>
      <c r="O13" s="192"/>
      <c r="P13" s="191"/>
      <c r="Q13" s="0" t="n">
        <f aca="false">Q39*Parameters!$C$7*Parameters!$C$12</f>
        <v>9</v>
      </c>
      <c r="R13" s="0" t="n">
        <f aca="false">R39*Parameters!$C$7*Parameters!$C$12</f>
        <v>9</v>
      </c>
      <c r="S13" s="192"/>
      <c r="T13" s="192"/>
      <c r="U13" s="192"/>
      <c r="V13" s="192"/>
      <c r="X13" s="191"/>
      <c r="Y13" s="0" t="n">
        <f aca="false">Y39+AF39</f>
        <v>8.5</v>
      </c>
      <c r="Z13" s="0" t="n">
        <f aca="false">Z39+AG39</f>
        <v>14</v>
      </c>
      <c r="AA13" s="192"/>
      <c r="AB13" s="192"/>
      <c r="AC13" s="192"/>
      <c r="AD13" s="192"/>
      <c r="AR13" s="182"/>
      <c r="AS13" s="194" t="n">
        <v>70</v>
      </c>
      <c r="AT13" s="194" t="n">
        <v>70</v>
      </c>
      <c r="AU13" s="192"/>
      <c r="AV13" s="192"/>
      <c r="AW13" s="192"/>
      <c r="AY13" s="182"/>
      <c r="AZ13" s="193"/>
      <c r="BA13" s="193"/>
      <c r="BB13" s="192"/>
      <c r="BC13" s="192"/>
      <c r="BD13" s="192"/>
    </row>
    <row r="14" customFormat="false" ht="15.75" hidden="false" customHeight="false" outlineLevel="0" collapsed="false">
      <c r="C14" s="111" t="n">
        <v>2006</v>
      </c>
      <c r="D14" s="182"/>
      <c r="E14" s="0" t="n">
        <f aca="false">E40*Parameters!$C$7*Parameters!$C$12</f>
        <v>3.15</v>
      </c>
      <c r="F14" s="0" t="n">
        <f aca="false">F40*Parameters!$C$7*Parameters!$C$12</f>
        <v>4.05</v>
      </c>
      <c r="G14" s="192"/>
      <c r="H14" s="192"/>
      <c r="I14" s="192"/>
      <c r="J14" s="182"/>
      <c r="K14" s="0" t="n">
        <f aca="false">K40*Parameters!$C$7*Parameters!$C$12</f>
        <v>3.15</v>
      </c>
      <c r="L14" s="0" t="n">
        <f aca="false">L40*Parameters!$C$7*Parameters!$C$12</f>
        <v>4.05</v>
      </c>
      <c r="M14" s="192"/>
      <c r="N14" s="192"/>
      <c r="O14" s="192"/>
      <c r="P14" s="191"/>
      <c r="Q14" s="0" t="n">
        <f aca="false">Q40*Parameters!$C$7*Parameters!$C$12</f>
        <v>9</v>
      </c>
      <c r="R14" s="0" t="n">
        <f aca="false">R40*Parameters!$C$7*Parameters!$C$12</f>
        <v>9</v>
      </c>
      <c r="S14" s="192"/>
      <c r="T14" s="192"/>
      <c r="U14" s="192"/>
      <c r="V14" s="192"/>
      <c r="X14" s="191"/>
      <c r="Y14" s="0" t="n">
        <f aca="false">Y40+AF40</f>
        <v>8.5</v>
      </c>
      <c r="Z14" s="0" t="n">
        <f aca="false">Z40+AG40</f>
        <v>14</v>
      </c>
      <c r="AA14" s="192"/>
      <c r="AB14" s="192"/>
      <c r="AC14" s="192"/>
      <c r="AD14" s="192"/>
      <c r="AR14" s="182"/>
      <c r="AS14" s="194" t="n">
        <v>70</v>
      </c>
      <c r="AT14" s="194" t="n">
        <v>70</v>
      </c>
      <c r="AU14" s="192"/>
      <c r="AV14" s="192"/>
      <c r="AW14" s="192"/>
      <c r="AY14" s="182"/>
      <c r="AZ14" s="193"/>
      <c r="BA14" s="193"/>
      <c r="BB14" s="192"/>
      <c r="BC14" s="192"/>
      <c r="BD14" s="192"/>
    </row>
    <row r="15" customFormat="false" ht="15.75" hidden="false" customHeight="false" outlineLevel="0" collapsed="false">
      <c r="C15" s="111" t="n">
        <v>2007</v>
      </c>
      <c r="D15" s="182"/>
      <c r="E15" s="0" t="n">
        <f aca="false">E41*Parameters!$C$7*Parameters!$C$12</f>
        <v>3.15</v>
      </c>
      <c r="F15" s="0" t="n">
        <f aca="false">F41*Parameters!$C$7*Parameters!$C$12</f>
        <v>4.05</v>
      </c>
      <c r="G15" s="0" t="n">
        <f aca="false">G41*Parameters!$C$7*Parameters!$C$12</f>
        <v>3.375</v>
      </c>
      <c r="H15" s="192"/>
      <c r="I15" s="192"/>
      <c r="J15" s="182"/>
      <c r="K15" s="0" t="n">
        <f aca="false">K41*Parameters!$C$7*Parameters!$C$12</f>
        <v>3.15</v>
      </c>
      <c r="L15" s="0" t="n">
        <f aca="false">L41*Parameters!$C$7*Parameters!$C$12</f>
        <v>4.05</v>
      </c>
      <c r="M15" s="0" t="n">
        <f aca="false">M41*Parameters!$C$7*Parameters!$C$12</f>
        <v>6.3</v>
      </c>
      <c r="N15" s="192"/>
      <c r="O15" s="192"/>
      <c r="P15" s="191"/>
      <c r="Q15" s="0" t="n">
        <f aca="false">Q41*Parameters!$C$7*Parameters!$C$12</f>
        <v>9</v>
      </c>
      <c r="R15" s="0" t="n">
        <f aca="false">R41*Parameters!$C$7*Parameters!$C$12</f>
        <v>9</v>
      </c>
      <c r="S15" s="0" t="n">
        <f aca="false">S41*Parameters!$C$7*Parameters!$C$12</f>
        <v>12.6</v>
      </c>
      <c r="T15" s="192"/>
      <c r="U15" s="192"/>
      <c r="V15" s="192"/>
      <c r="X15" s="191"/>
      <c r="Y15" s="0" t="n">
        <f aca="false">Y41+AF41</f>
        <v>8.5</v>
      </c>
      <c r="Z15" s="0" t="n">
        <f aca="false">Z41+AG41</f>
        <v>14</v>
      </c>
      <c r="AA15" s="0" t="n">
        <f aca="false">AA41+AH41</f>
        <v>23</v>
      </c>
      <c r="AB15" s="192"/>
      <c r="AC15" s="192"/>
      <c r="AD15" s="192"/>
      <c r="AR15" s="182"/>
      <c r="AS15" s="194" t="n">
        <v>70</v>
      </c>
      <c r="AT15" s="194" t="n">
        <v>70</v>
      </c>
      <c r="AV15" s="192"/>
      <c r="AW15" s="192"/>
      <c r="AY15" s="182"/>
      <c r="AZ15" s="193"/>
      <c r="BA15" s="193"/>
      <c r="BB15" s="193" t="s">
        <v>631</v>
      </c>
      <c r="BC15" s="192"/>
      <c r="BD15" s="192"/>
    </row>
    <row r="16" customFormat="false" ht="15.75" hidden="false" customHeight="false" outlineLevel="0" collapsed="false">
      <c r="C16" s="111" t="n">
        <v>2008</v>
      </c>
      <c r="D16" s="182"/>
      <c r="F16" s="0" t="n">
        <f aca="false">F42*Parameters!$C$7*Parameters!$C$12</f>
        <v>3.15</v>
      </c>
      <c r="G16" s="0" t="n">
        <f aca="false">G42*Parameters!$C$7*Parameters!$C$12</f>
        <v>3.375</v>
      </c>
      <c r="H16" s="192"/>
      <c r="I16" s="192"/>
      <c r="J16" s="182"/>
      <c r="L16" s="0" t="n">
        <f aca="false">L42*Parameters!$C$7*Parameters!$C$12</f>
        <v>3.15</v>
      </c>
      <c r="M16" s="0" t="n">
        <f aca="false">M42*Parameters!$C$7*Parameters!$C$12</f>
        <v>6.3</v>
      </c>
      <c r="N16" s="192"/>
      <c r="O16" s="192"/>
      <c r="P16" s="191"/>
      <c r="Q16" s="119" t="n">
        <f aca="false">Q15</f>
        <v>9</v>
      </c>
      <c r="R16" s="0" t="n">
        <f aca="false">R42*Parameters!$C$7*Parameters!$C$12</f>
        <v>9</v>
      </c>
      <c r="S16" s="0" t="n">
        <f aca="false">S42*Parameters!$C$7*Parameters!$C$12</f>
        <v>12.6</v>
      </c>
      <c r="T16" s="192"/>
      <c r="U16" s="192"/>
      <c r="V16" s="192"/>
      <c r="X16" s="191"/>
      <c r="Y16" s="119" t="n">
        <f aca="false">Y15</f>
        <v>8.5</v>
      </c>
      <c r="Z16" s="0" t="n">
        <f aca="false">Z42+AG42</f>
        <v>14</v>
      </c>
      <c r="AA16" s="0" t="n">
        <f aca="false">AA42+AH42</f>
        <v>21</v>
      </c>
      <c r="AB16" s="192"/>
      <c r="AC16" s="192"/>
      <c r="AD16" s="192"/>
      <c r="AR16" s="182"/>
      <c r="AS16" s="119" t="n">
        <f aca="false">AS15</f>
        <v>70</v>
      </c>
      <c r="AT16" s="194" t="n">
        <v>70</v>
      </c>
      <c r="AV16" s="192"/>
      <c r="AW16" s="192"/>
      <c r="AY16" s="182"/>
      <c r="AZ16" s="193"/>
      <c r="BA16" s="193"/>
      <c r="BB16" s="193"/>
      <c r="BC16" s="192"/>
      <c r="BD16" s="192"/>
    </row>
    <row r="17" customFormat="false" ht="15.75" hidden="false" customHeight="false" outlineLevel="0" collapsed="false">
      <c r="C17" s="111" t="n">
        <v>2009</v>
      </c>
      <c r="D17" s="182"/>
      <c r="F17" s="0" t="n">
        <f aca="false">F43*Parameters!$C$7*Parameters!$C$12</f>
        <v>3.15</v>
      </c>
      <c r="G17" s="0" t="n">
        <f aca="false">G43*Parameters!$C$7*Parameters!$C$12</f>
        <v>3.375</v>
      </c>
      <c r="H17" s="192"/>
      <c r="I17" s="192"/>
      <c r="J17" s="182"/>
      <c r="L17" s="0" t="n">
        <f aca="false">L43*Parameters!$C$7*Parameters!$C$12</f>
        <v>3.15</v>
      </c>
      <c r="M17" s="0" t="n">
        <f aca="false">M43*Parameters!$C$7*Parameters!$C$12</f>
        <v>6.3</v>
      </c>
      <c r="N17" s="192"/>
      <c r="O17" s="192"/>
      <c r="P17" s="191"/>
      <c r="Q17" s="119" t="n">
        <f aca="false">Q16</f>
        <v>9</v>
      </c>
      <c r="R17" s="0" t="n">
        <f aca="false">R43*Parameters!$C$7*Parameters!$C$12</f>
        <v>9</v>
      </c>
      <c r="S17" s="0" t="n">
        <f aca="false">S43*Parameters!$C$7*Parameters!$C$12</f>
        <v>12.6</v>
      </c>
      <c r="T17" s="192"/>
      <c r="U17" s="192"/>
      <c r="V17" s="192"/>
      <c r="X17" s="191"/>
      <c r="Y17" s="119" t="n">
        <f aca="false">Y16</f>
        <v>8.5</v>
      </c>
      <c r="Z17" s="0" t="n">
        <f aca="false">Z43+AG43</f>
        <v>14</v>
      </c>
      <c r="AA17" s="0" t="n">
        <f aca="false">AA43+AH43</f>
        <v>21</v>
      </c>
      <c r="AB17" s="192"/>
      <c r="AC17" s="192"/>
      <c r="AD17" s="192"/>
      <c r="AR17" s="182"/>
      <c r="AS17" s="119" t="n">
        <f aca="false">AS16</f>
        <v>70</v>
      </c>
      <c r="AT17" s="194" t="n">
        <v>70</v>
      </c>
      <c r="AV17" s="192"/>
      <c r="AW17" s="192"/>
      <c r="AY17" s="182"/>
      <c r="AZ17" s="193"/>
      <c r="BA17" s="193"/>
      <c r="BB17" s="193"/>
      <c r="BC17" s="192"/>
      <c r="BD17" s="192"/>
    </row>
    <row r="18" customFormat="false" ht="15.75" hidden="false" customHeight="false" outlineLevel="0" collapsed="false">
      <c r="C18" s="111" t="n">
        <v>2010</v>
      </c>
      <c r="D18" s="182"/>
      <c r="E18" s="0" t="n">
        <f aca="false">E44*Parameters!$C$7*Parameters!$C$12</f>
        <v>3.15</v>
      </c>
      <c r="F18" s="0" t="n">
        <f aca="false">F44*Parameters!$C$7*Parameters!$C$12</f>
        <v>3.15</v>
      </c>
      <c r="G18" s="0" t="n">
        <f aca="false">G44*Parameters!$C$7*Parameters!$C$12</f>
        <v>2.925</v>
      </c>
      <c r="H18" s="192"/>
      <c r="I18" s="192"/>
      <c r="J18" s="182"/>
      <c r="K18" s="0" t="n">
        <f aca="false">K44*Parameters!$C$7*Parameters!$C$12</f>
        <v>3.15</v>
      </c>
      <c r="L18" s="0" t="n">
        <f aca="false">L44*Parameters!$C$7*Parameters!$C$12</f>
        <v>3.15</v>
      </c>
      <c r="M18" s="0" t="n">
        <f aca="false">M44*Parameters!$C$7*Parameters!$C$12</f>
        <v>4.95</v>
      </c>
      <c r="N18" s="192"/>
      <c r="O18" s="192"/>
      <c r="P18" s="191"/>
      <c r="Q18" s="0" t="n">
        <f aca="false">Q44*Parameters!$C$7*Parameters!$C$12</f>
        <v>7.2</v>
      </c>
      <c r="R18" s="0" t="n">
        <f aca="false">R44*Parameters!$C$7*Parameters!$C$12</f>
        <v>7.2</v>
      </c>
      <c r="S18" s="0" t="n">
        <f aca="false">S44*Parameters!$C$7*Parameters!$C$12</f>
        <v>10.8</v>
      </c>
      <c r="T18" s="192"/>
      <c r="U18" s="192"/>
      <c r="V18" s="192"/>
      <c r="X18" s="191"/>
      <c r="Y18" s="0" t="n">
        <f aca="false">Y44+AF44</f>
        <v>7.5</v>
      </c>
      <c r="Z18" s="0" t="n">
        <f aca="false">Z44+AG44</f>
        <v>8.1</v>
      </c>
      <c r="AA18" s="0" t="n">
        <f aca="false">AA44+AH44</f>
        <v>17.5</v>
      </c>
      <c r="AB18" s="192"/>
      <c r="AC18" s="192"/>
      <c r="AD18" s="192"/>
      <c r="AR18" s="182"/>
      <c r="AS18" s="194" t="n">
        <v>80</v>
      </c>
      <c r="AT18" s="194" t="n">
        <v>80</v>
      </c>
      <c r="AV18" s="192"/>
      <c r="AW18" s="192"/>
      <c r="AY18" s="182"/>
      <c r="AZ18" s="193"/>
      <c r="BA18" s="195" t="s">
        <v>631</v>
      </c>
      <c r="BB18" s="193"/>
      <c r="BC18" s="192"/>
      <c r="BD18" s="192"/>
    </row>
    <row r="19" customFormat="false" ht="15.75" hidden="false" customHeight="false" outlineLevel="0" collapsed="false">
      <c r="C19" s="111" t="n">
        <v>2011</v>
      </c>
      <c r="D19" s="182"/>
      <c r="G19" s="0" t="n">
        <f aca="false">G45*Parameters!$C$7*Parameters!$C$12</f>
        <v>2.925</v>
      </c>
      <c r="H19" s="192"/>
      <c r="I19" s="192"/>
      <c r="J19" s="182"/>
      <c r="M19" s="0" t="n">
        <f aca="false">M45*Parameters!$C$7*Parameters!$C$12</f>
        <v>4.95</v>
      </c>
      <c r="N19" s="192"/>
      <c r="O19" s="192"/>
      <c r="P19" s="191"/>
      <c r="Q19" s="119" t="n">
        <f aca="false">Q18</f>
        <v>7.2</v>
      </c>
      <c r="S19" s="0" t="n">
        <f aca="false">S45*Parameters!$C$7*Parameters!$C$12</f>
        <v>10.8</v>
      </c>
      <c r="T19" s="192"/>
      <c r="U19" s="192"/>
      <c r="V19" s="192"/>
      <c r="X19" s="191"/>
      <c r="Y19" s="119" t="n">
        <f aca="false">Y18</f>
        <v>7.5</v>
      </c>
      <c r="Z19" s="119"/>
      <c r="AA19" s="0" t="n">
        <f aca="false">AA45+AH45</f>
        <v>17.5</v>
      </c>
      <c r="AB19" s="192"/>
      <c r="AC19" s="192"/>
      <c r="AD19" s="192"/>
      <c r="AR19" s="182"/>
      <c r="AS19" s="119" t="n">
        <f aca="false">AS18</f>
        <v>80</v>
      </c>
      <c r="AV19" s="192"/>
      <c r="AW19" s="192"/>
      <c r="AY19" s="182"/>
      <c r="BA19" s="195"/>
      <c r="BB19" s="195" t="s">
        <v>632</v>
      </c>
      <c r="BC19" s="192"/>
      <c r="BD19" s="192"/>
    </row>
    <row r="20" customFormat="false" ht="15.75" hidden="false" customHeight="false" outlineLevel="0" collapsed="false">
      <c r="C20" s="111" t="n">
        <v>2012</v>
      </c>
      <c r="D20" s="182"/>
      <c r="F20" s="0" t="n">
        <f aca="false">F46*Parameters!$C$7*Parameters!$C$12</f>
        <v>3.15</v>
      </c>
      <c r="G20" s="0" t="n">
        <f aca="false">G46*Parameters!$C$7*Parameters!$C$12</f>
        <v>2.925</v>
      </c>
      <c r="H20" s="192"/>
      <c r="I20" s="192"/>
      <c r="J20" s="182"/>
      <c r="L20" s="0" t="n">
        <f aca="false">L46*Parameters!$C$7*Parameters!$C$12</f>
        <v>3.15</v>
      </c>
      <c r="M20" s="0" t="n">
        <f aca="false">M46*Parameters!$C$7*Parameters!$C$12</f>
        <v>4.95</v>
      </c>
      <c r="N20" s="192"/>
      <c r="O20" s="192"/>
      <c r="P20" s="191"/>
      <c r="Q20" s="119" t="n">
        <f aca="false">Q19</f>
        <v>7.2</v>
      </c>
      <c r="R20" s="0" t="n">
        <f aca="false">R46*Parameters!$C$7*Parameters!$C$12</f>
        <v>7.2</v>
      </c>
      <c r="S20" s="0" t="n">
        <f aca="false">S46*Parameters!$C$7*Parameters!$C$12</f>
        <v>10.8</v>
      </c>
      <c r="T20" s="192"/>
      <c r="U20" s="192"/>
      <c r="V20" s="192"/>
      <c r="X20" s="191"/>
      <c r="Y20" s="119" t="n">
        <f aca="false">Y19</f>
        <v>7.5</v>
      </c>
      <c r="Z20" s="0" t="n">
        <f aca="false">Z46+AG46</f>
        <v>8.1</v>
      </c>
      <c r="AA20" s="0" t="n">
        <f aca="false">AA46+AH46</f>
        <v>17.5</v>
      </c>
      <c r="AB20" s="192"/>
      <c r="AC20" s="192"/>
      <c r="AD20" s="192"/>
      <c r="AR20" s="182"/>
      <c r="AS20" s="119" t="n">
        <f aca="false">AS19</f>
        <v>80</v>
      </c>
      <c r="AT20" s="194" t="n">
        <v>80</v>
      </c>
      <c r="AV20" s="192"/>
      <c r="AW20" s="192"/>
      <c r="AY20" s="182"/>
      <c r="BA20" s="195"/>
      <c r="BB20" s="195"/>
      <c r="BC20" s="192"/>
      <c r="BD20" s="192"/>
    </row>
    <row r="21" customFormat="false" ht="15.75" hidden="false" customHeight="false" outlineLevel="0" collapsed="false">
      <c r="C21" s="111" t="n">
        <v>2013</v>
      </c>
      <c r="D21" s="182"/>
      <c r="E21" s="0" t="n">
        <f aca="false">E47*Parameters!$C$7*Parameters!$C$12</f>
        <v>3.15</v>
      </c>
      <c r="F21" s="0" t="n">
        <f aca="false">F47*Parameters!$C$7*Parameters!$C$12</f>
        <v>3.15</v>
      </c>
      <c r="G21" s="0" t="n">
        <f aca="false">G47*Parameters!$C$7*Parameters!$C$12</f>
        <v>2.475</v>
      </c>
      <c r="H21" s="192"/>
      <c r="I21" s="192"/>
      <c r="J21" s="182"/>
      <c r="K21" s="0" t="n">
        <f aca="false">K47*Parameters!$C$7*Parameters!$C$12</f>
        <v>3.15</v>
      </c>
      <c r="L21" s="0" t="n">
        <f aca="false">L47*Parameters!$C$7*Parameters!$C$12</f>
        <v>3.15</v>
      </c>
      <c r="M21" s="0" t="n">
        <f aca="false">M47*Parameters!$C$7*Parameters!$C$12</f>
        <v>4.05</v>
      </c>
      <c r="N21" s="192"/>
      <c r="O21" s="192"/>
      <c r="P21" s="191"/>
      <c r="Q21" s="0" t="n">
        <f aca="false">Q47*Parameters!$C$7*Parameters!$C$12</f>
        <v>7.2</v>
      </c>
      <c r="R21" s="0" t="n">
        <f aca="false">R47*Parameters!$C$7*Parameters!$C$12</f>
        <v>7.2</v>
      </c>
      <c r="S21" s="0" t="n">
        <f aca="false">S47*Parameters!$C$7*Parameters!$C$12</f>
        <v>9.45</v>
      </c>
      <c r="T21" s="114" t="n">
        <f aca="false">T47*Parameters!$C$3*Parameters!$C$12</f>
        <v>9</v>
      </c>
      <c r="U21" s="192"/>
      <c r="V21" s="192"/>
      <c r="X21" s="191"/>
      <c r="Y21" s="0" t="n">
        <f aca="false">Y47+AF47</f>
        <v>7.5</v>
      </c>
      <c r="Z21" s="0" t="n">
        <f aca="false">Z47+AG47</f>
        <v>8.1</v>
      </c>
      <c r="AA21" s="0" t="n">
        <f aca="false">AA47+AH47</f>
        <v>14</v>
      </c>
      <c r="AB21" s="114" t="n">
        <f aca="false">AB47+AI47</f>
        <v>14.1</v>
      </c>
      <c r="AC21" s="196" t="n">
        <f aca="false">AC47+AI47</f>
        <v>14.3</v>
      </c>
      <c r="AD21" s="192"/>
      <c r="AR21" s="182"/>
      <c r="AS21" s="194" t="n">
        <v>90</v>
      </c>
      <c r="AT21" s="194" t="n">
        <v>90</v>
      </c>
      <c r="AV21" s="197" t="n">
        <v>50</v>
      </c>
      <c r="AW21" s="192"/>
      <c r="AY21" s="182"/>
      <c r="BA21" s="195"/>
      <c r="BB21" s="195"/>
      <c r="BC21" s="0" t="n">
        <v>0.22</v>
      </c>
      <c r="BD21" s="192"/>
    </row>
    <row r="22" customFormat="false" ht="15.75" hidden="false" customHeight="false" outlineLevel="0" collapsed="false">
      <c r="C22" s="111" t="n">
        <v>2014</v>
      </c>
      <c r="D22" s="182"/>
      <c r="G22" s="0" t="n">
        <f aca="false">G48*Parameters!$C$7*Parameters!$C$12</f>
        <v>2.475</v>
      </c>
      <c r="H22" s="192"/>
      <c r="I22" s="192"/>
      <c r="J22" s="182"/>
      <c r="M22" s="0" t="n">
        <f aca="false">M48*Parameters!$C$7*Parameters!$C$12</f>
        <v>4.05</v>
      </c>
      <c r="N22" s="192"/>
      <c r="O22" s="192"/>
      <c r="P22" s="191"/>
      <c r="Q22" s="119" t="n">
        <f aca="false">Q21</f>
        <v>7.2</v>
      </c>
      <c r="S22" s="0" t="n">
        <f aca="false">S48*Parameters!$C$7*Parameters!$C$12</f>
        <v>9.45</v>
      </c>
      <c r="T22" s="198" t="n">
        <f aca="false">T48*Parameters!$C$3*Parameters!$C$12</f>
        <v>9</v>
      </c>
      <c r="U22" s="192"/>
      <c r="V22" s="192"/>
      <c r="X22" s="191"/>
      <c r="Y22" s="119" t="n">
        <f aca="false">Y21</f>
        <v>7.5</v>
      </c>
      <c r="Z22" s="119"/>
      <c r="AA22" s="0" t="n">
        <f aca="false">AA48+AH48</f>
        <v>14</v>
      </c>
      <c r="AB22" s="198" t="n">
        <f aca="false">AB48+AI48</f>
        <v>14.1</v>
      </c>
      <c r="AC22" s="199" t="n">
        <f aca="false">AC48+AI48</f>
        <v>14.3</v>
      </c>
      <c r="AD22" s="192"/>
      <c r="AR22" s="182"/>
      <c r="AS22" s="119" t="n">
        <f aca="false">AS21</f>
        <v>90</v>
      </c>
      <c r="AV22" s="197" t="n">
        <v>50</v>
      </c>
      <c r="AW22" s="192"/>
      <c r="AY22" s="182"/>
      <c r="BA22" s="195"/>
      <c r="BB22" s="195"/>
      <c r="BC22" s="0" t="n">
        <v>0.22</v>
      </c>
      <c r="BD22" s="192"/>
    </row>
    <row r="23" customFormat="false" ht="15.75" hidden="false" customHeight="false" outlineLevel="0" collapsed="false">
      <c r="C23" s="111" t="n">
        <v>2015</v>
      </c>
      <c r="D23" s="182"/>
      <c r="F23" s="0" t="n">
        <f aca="false">F49*Parameters!$C$7*Parameters!$C$12</f>
        <v>3.15</v>
      </c>
      <c r="G23" s="0" t="n">
        <f aca="false">G49*Parameters!$C$7*Parameters!$C$12</f>
        <v>2.475</v>
      </c>
      <c r="I23" s="192"/>
      <c r="J23" s="182"/>
      <c r="L23" s="0" t="n">
        <f aca="false">L49*Parameters!$C$7*Parameters!$C$12</f>
        <v>3.15</v>
      </c>
      <c r="M23" s="0" t="n">
        <f aca="false">M49*Parameters!$C$7*Parameters!$C$12</f>
        <v>4.05</v>
      </c>
      <c r="O23" s="192"/>
      <c r="P23" s="191"/>
      <c r="Q23" s="119" t="n">
        <f aca="false">Q22</f>
        <v>7.2</v>
      </c>
      <c r="R23" s="0" t="n">
        <f aca="false">R49*Parameters!$C$7*Parameters!$C$12</f>
        <v>7.2</v>
      </c>
      <c r="S23" s="0" t="n">
        <f aca="false">S49*Parameters!$C$7*Parameters!$C$12</f>
        <v>9.45</v>
      </c>
      <c r="T23" s="200" t="n">
        <f aca="false">T49*Parameters!$C$3*Parameters!$C$12</f>
        <v>9</v>
      </c>
      <c r="U23" s="196" t="n">
        <f aca="false">U49*Parameters!$C$3*Parameters!$C$12</f>
        <v>10.8</v>
      </c>
      <c r="V23" s="192"/>
      <c r="X23" s="191"/>
      <c r="Y23" s="119" t="n">
        <f aca="false">Y22</f>
        <v>7.5</v>
      </c>
      <c r="Z23" s="0" t="n">
        <f aca="false">Z49+AG49</f>
        <v>8.1</v>
      </c>
      <c r="AA23" s="0" t="n">
        <f aca="false">AA49+AH49</f>
        <v>14</v>
      </c>
      <c r="AB23" s="198" t="n">
        <f aca="false">AB49+AI49</f>
        <v>13.5</v>
      </c>
      <c r="AC23" s="199" t="n">
        <f aca="false">AC49+AI49</f>
        <v>13.8</v>
      </c>
      <c r="AD23" s="192"/>
      <c r="AR23" s="182"/>
      <c r="AS23" s="119" t="n">
        <f aca="false">AS22</f>
        <v>90</v>
      </c>
      <c r="AT23" s="194" t="n">
        <v>90</v>
      </c>
      <c r="AV23" s="197" t="n">
        <v>60</v>
      </c>
      <c r="AW23" s="192"/>
      <c r="AY23" s="182"/>
      <c r="BA23" s="195"/>
      <c r="BB23" s="195"/>
      <c r="BC23" s="0" t="n">
        <v>0.22</v>
      </c>
      <c r="BD23" s="192"/>
    </row>
    <row r="24" customFormat="false" ht="15.75" hidden="false" customHeight="false" outlineLevel="0" collapsed="false">
      <c r="C24" s="111" t="n">
        <v>2016</v>
      </c>
      <c r="D24" s="182"/>
      <c r="E24" s="0" t="n">
        <f aca="false">E50*Parameters!$C$7*Parameters!$C$12</f>
        <v>3.15</v>
      </c>
      <c r="F24" s="0" t="n">
        <f aca="false">F50*Parameters!$C$7*Parameters!$C$12</f>
        <v>3.15</v>
      </c>
      <c r="G24" s="0" t="n">
        <f aca="false">G50*Parameters!$C$7*Parameters!$C$12</f>
        <v>2.25</v>
      </c>
      <c r="I24" s="192"/>
      <c r="J24" s="182"/>
      <c r="K24" s="0" t="n">
        <f aca="false">K50*Parameters!$C$7*Parameters!$C$12</f>
        <v>3.15</v>
      </c>
      <c r="L24" s="0" t="n">
        <f aca="false">L50*Parameters!$C$7*Parameters!$C$12</f>
        <v>3.15</v>
      </c>
      <c r="M24" s="0" t="n">
        <f aca="false">M50*Parameters!$C$7*Parameters!$C$12</f>
        <v>2.925</v>
      </c>
      <c r="O24" s="192"/>
      <c r="P24" s="191"/>
      <c r="Q24" s="0" t="n">
        <f aca="false">Q50*Parameters!$C$7*Parameters!$C$12</f>
        <v>7.2</v>
      </c>
      <c r="R24" s="0" t="n">
        <f aca="false">R50*Parameters!$C$7*Parameters!$C$12</f>
        <v>7.2</v>
      </c>
      <c r="S24" s="0" t="n">
        <f aca="false">S50*Parameters!$C$7*Parameters!$C$12</f>
        <v>7.875</v>
      </c>
      <c r="T24" s="200" t="n">
        <f aca="false">T50*Parameters!$C$3*Parameters!$C$12</f>
        <v>8.1</v>
      </c>
      <c r="U24" s="199" t="n">
        <f aca="false">U50*Parameters!$C$3*Parameters!$C$12</f>
        <v>10.8</v>
      </c>
      <c r="V24" s="192"/>
      <c r="X24" s="191"/>
      <c r="Y24" s="0" t="n">
        <f aca="false">Y50+AF50</f>
        <v>7.5</v>
      </c>
      <c r="Z24" s="0" t="n">
        <f aca="false">Z50+AG50</f>
        <v>8.1</v>
      </c>
      <c r="AA24" s="0" t="n">
        <f aca="false">AA50+AH50</f>
        <v>10.5</v>
      </c>
      <c r="AB24" s="198" t="n">
        <f aca="false">AB50+AI50</f>
        <v>12.4</v>
      </c>
      <c r="AC24" s="199" t="n">
        <f aca="false">AC50+AI50</f>
        <v>13</v>
      </c>
      <c r="AD24" s="192"/>
      <c r="AR24" s="182"/>
      <c r="AS24" s="194" t="n">
        <v>90</v>
      </c>
      <c r="AT24" s="194" t="n">
        <v>90</v>
      </c>
      <c r="AV24" s="197" t="n">
        <v>60</v>
      </c>
      <c r="AW24" s="192"/>
      <c r="AY24" s="182"/>
      <c r="BA24" s="195"/>
      <c r="BB24" s="195"/>
      <c r="BC24" s="0" t="n">
        <v>0.22</v>
      </c>
      <c r="BD24" s="192"/>
    </row>
    <row r="25" customFormat="false" ht="15.75" hidden="false" customHeight="false" outlineLevel="0" collapsed="false">
      <c r="C25" s="111" t="n">
        <v>2017</v>
      </c>
      <c r="D25" s="182"/>
      <c r="E25" s="192"/>
      <c r="G25" s="0" t="n">
        <f aca="false">G51*Parameters!$C$7*Parameters!$C$12</f>
        <v>2.25</v>
      </c>
      <c r="J25" s="182"/>
      <c r="K25" s="192"/>
      <c r="M25" s="0" t="n">
        <f aca="false">M51*Parameters!$C$7*Parameters!$C$12</f>
        <v>2.925</v>
      </c>
      <c r="P25" s="191"/>
      <c r="Q25" s="201" t="n">
        <f aca="false">Q24</f>
        <v>7.2</v>
      </c>
      <c r="S25" s="0" t="n">
        <f aca="false">S51*Parameters!$C$7*Parameters!$C$12</f>
        <v>7.875</v>
      </c>
      <c r="T25" s="200" t="n">
        <f aca="false">T51*Parameters!$C$3*Parameters!$C$12</f>
        <v>8.1</v>
      </c>
      <c r="U25" s="199" t="n">
        <f aca="false">U51*Parameters!$C$3*Parameters!$C$12</f>
        <v>10.8</v>
      </c>
      <c r="X25" s="191"/>
      <c r="Y25" s="201" t="n">
        <f aca="false">Y24</f>
        <v>7.5</v>
      </c>
      <c r="Z25" s="119"/>
      <c r="AA25" s="0" t="n">
        <f aca="false">AA51+AH51</f>
        <v>10.5</v>
      </c>
      <c r="AB25" s="198" t="n">
        <f aca="false">AB51+AI51</f>
        <v>11.8</v>
      </c>
      <c r="AC25" s="199" t="n">
        <f aca="false">AC51+AI51</f>
        <v>12.4</v>
      </c>
      <c r="AR25" s="182"/>
      <c r="AS25" s="201" t="n">
        <f aca="false">AS24</f>
        <v>90</v>
      </c>
      <c r="AV25" s="197" t="n">
        <v>70</v>
      </c>
      <c r="AY25" s="182"/>
      <c r="AZ25" s="192"/>
      <c r="BA25" s="195"/>
      <c r="BB25" s="195"/>
      <c r="BC25" s="0" t="n">
        <v>0.22</v>
      </c>
    </row>
    <row r="26" customFormat="false" ht="15.75" hidden="false" customHeight="false" outlineLevel="0" collapsed="false">
      <c r="C26" s="111" t="n">
        <v>2018</v>
      </c>
      <c r="D26" s="182"/>
      <c r="E26" s="192"/>
      <c r="F26" s="0" t="n">
        <f aca="false">F52*Parameters!$C$7*Parameters!$C$12</f>
        <v>3.15</v>
      </c>
      <c r="G26" s="0" t="n">
        <f aca="false">G52*Parameters!$C$7*Parameters!$C$12</f>
        <v>2.25</v>
      </c>
      <c r="J26" s="182"/>
      <c r="K26" s="192"/>
      <c r="L26" s="0" t="n">
        <f aca="false">L52*Parameters!$C$7*Parameters!$C$12</f>
        <v>3.15</v>
      </c>
      <c r="M26" s="0" t="n">
        <f aca="false">M52*Parameters!$C$7*Parameters!$C$12</f>
        <v>2.925</v>
      </c>
      <c r="P26" s="191"/>
      <c r="Q26" s="201" t="n">
        <f aca="false">Q25</f>
        <v>7.2</v>
      </c>
      <c r="R26" s="0" t="n">
        <f aca="false">R52*Parameters!$C$7*Parameters!$C$12</f>
        <v>7.2</v>
      </c>
      <c r="S26" s="0" t="n">
        <f aca="false">S52*Parameters!$C$7*Parameters!$C$12</f>
        <v>7.875</v>
      </c>
      <c r="T26" s="200" t="n">
        <f aca="false">T52*Parameters!$C$3*Parameters!$C$12</f>
        <v>8.1</v>
      </c>
      <c r="U26" s="199" t="n">
        <f aca="false">U52*Parameters!$C$3*Parameters!$C$12</f>
        <v>10.8</v>
      </c>
      <c r="X26" s="191"/>
      <c r="Y26" s="201" t="n">
        <f aca="false">Y25</f>
        <v>7.5</v>
      </c>
      <c r="Z26" s="0" t="n">
        <f aca="false">Z52+AG52</f>
        <v>8.1</v>
      </c>
      <c r="AA26" s="0" t="n">
        <f aca="false">AA52+AH52</f>
        <v>10.5</v>
      </c>
      <c r="AB26" s="198" t="n">
        <f aca="false">AB52+AI52</f>
        <v>11.8</v>
      </c>
      <c r="AC26" s="199" t="n">
        <f aca="false">AC52+AI52</f>
        <v>12.4</v>
      </c>
      <c r="AR26" s="182"/>
      <c r="AS26" s="201" t="n">
        <f aca="false">AS25</f>
        <v>90</v>
      </c>
      <c r="AT26" s="194" t="n">
        <v>90</v>
      </c>
      <c r="AV26" s="197" t="n">
        <v>70</v>
      </c>
      <c r="AY26" s="182"/>
      <c r="AZ26" s="192"/>
      <c r="BA26" s="195"/>
      <c r="BB26" s="195"/>
      <c r="BC26" s="0" t="n">
        <v>0.22</v>
      </c>
    </row>
    <row r="27" customFormat="false" ht="15.75" hidden="false" customHeight="false" outlineLevel="0" collapsed="false">
      <c r="C27" s="111" t="n">
        <v>2019</v>
      </c>
      <c r="D27" s="182"/>
      <c r="E27" s="192"/>
      <c r="F27" s="192"/>
      <c r="G27" s="0" t="n">
        <f aca="false">G53*Parameters!$C$7*Parameters!$C$12</f>
        <v>2.25</v>
      </c>
      <c r="J27" s="182"/>
      <c r="K27" s="192"/>
      <c r="L27" s="192"/>
      <c r="M27" s="0" t="n">
        <f aca="false">M53*Parameters!$C$7*Parameters!$C$12</f>
        <v>2.925</v>
      </c>
      <c r="P27" s="191"/>
      <c r="Q27" s="201" t="n">
        <f aca="false">Q26</f>
        <v>7.2</v>
      </c>
      <c r="R27" s="192"/>
      <c r="S27" s="0" t="n">
        <f aca="false">S53*Parameters!$C$7*Parameters!$C$12</f>
        <v>7.875</v>
      </c>
      <c r="T27" s="200" t="n">
        <f aca="false">T53*Parameters!$C$3*Parameters!$C$12</f>
        <v>7.2</v>
      </c>
      <c r="U27" s="199" t="n">
        <f aca="false">U53*Parameters!$C$3*Parameters!$C$12</f>
        <v>10.8</v>
      </c>
      <c r="X27" s="191"/>
      <c r="Y27" s="201" t="n">
        <f aca="false">Y26</f>
        <v>7.5</v>
      </c>
      <c r="Z27" s="192"/>
      <c r="AA27" s="0" t="n">
        <f aca="false">AA53+AH53</f>
        <v>10.5</v>
      </c>
      <c r="AB27" s="198" t="n">
        <f aca="false">AB53+AI53</f>
        <v>10</v>
      </c>
      <c r="AC27" s="199" t="n">
        <f aca="false">AC53+AI53</f>
        <v>10.8</v>
      </c>
      <c r="AR27" s="182"/>
      <c r="AS27" s="201" t="n">
        <f aca="false">AS26</f>
        <v>90</v>
      </c>
      <c r="AT27" s="192"/>
      <c r="AV27" s="197" t="n">
        <v>70</v>
      </c>
      <c r="AY27" s="182"/>
      <c r="AZ27" s="192"/>
      <c r="BA27" s="195"/>
      <c r="BB27" s="195"/>
      <c r="BC27" s="0" t="n">
        <v>0.22</v>
      </c>
    </row>
    <row r="28" customFormat="false" ht="15.75" hidden="false" customHeight="false" outlineLevel="0" collapsed="false">
      <c r="C28" s="111" t="n">
        <v>2020</v>
      </c>
      <c r="D28" s="182"/>
      <c r="E28" s="192"/>
      <c r="F28" s="192"/>
      <c r="G28" s="0" t="n">
        <f aca="false">G54*Parameters!$C$7*Parameters!$C$12</f>
        <v>2.25</v>
      </c>
      <c r="J28" s="182"/>
      <c r="K28" s="192"/>
      <c r="L28" s="192"/>
      <c r="M28" s="0" t="n">
        <f aca="false">M54*Parameters!$C$7*Parameters!$C$12</f>
        <v>2.925</v>
      </c>
      <c r="P28" s="191"/>
      <c r="Q28" s="201" t="n">
        <f aca="false">Q27</f>
        <v>7.2</v>
      </c>
      <c r="R28" s="192"/>
      <c r="S28" s="0" t="n">
        <f aca="false">S54*Parameters!$C$7*Parameters!$C$12</f>
        <v>7.875</v>
      </c>
      <c r="T28" s="202" t="n">
        <f aca="false">T54*Parameters!$C$3*Parameters!$C$12</f>
        <v>7.2</v>
      </c>
      <c r="U28" s="203" t="n">
        <f aca="false">U54*Parameters!$C$3*Parameters!$C$12</f>
        <v>10.8</v>
      </c>
      <c r="X28" s="191"/>
      <c r="Y28" s="201" t="n">
        <f aca="false">Y27</f>
        <v>7.5</v>
      </c>
      <c r="Z28" s="192"/>
      <c r="AA28" s="0" t="n">
        <f aca="false">AA54+AH54</f>
        <v>10.5</v>
      </c>
      <c r="AB28" s="204" t="n">
        <f aca="false">AB54+AI54</f>
        <v>9.8</v>
      </c>
      <c r="AC28" s="203" t="n">
        <f aca="false">AC54+AI54</f>
        <v>10.5</v>
      </c>
      <c r="AR28" s="182"/>
      <c r="AS28" s="201" t="n">
        <f aca="false">AS27</f>
        <v>90</v>
      </c>
      <c r="AT28" s="192"/>
      <c r="AV28" s="197" t="n">
        <v>75</v>
      </c>
      <c r="AY28" s="182"/>
      <c r="AZ28" s="192"/>
      <c r="BA28" s="195"/>
      <c r="BB28" s="195"/>
      <c r="BC28" s="0" t="n">
        <v>0.22</v>
      </c>
    </row>
    <row r="29" s="205" customFormat="true" ht="15.75" hidden="false" customHeight="false" outlineLevel="0" collapsed="false">
      <c r="I29" s="205" t="s">
        <v>75</v>
      </c>
      <c r="O29" s="205" t="s">
        <v>75</v>
      </c>
      <c r="V29" s="205" t="s">
        <v>75</v>
      </c>
      <c r="AD29" s="205" t="s">
        <v>75</v>
      </c>
      <c r="AU29" s="205" t="s">
        <v>75</v>
      </c>
      <c r="AW29" s="205" t="s">
        <v>75</v>
      </c>
      <c r="BD29" s="205" t="s">
        <v>75</v>
      </c>
    </row>
    <row r="31" customFormat="false" ht="15.75" hidden="false" customHeight="false" outlineLevel="0" collapsed="false">
      <c r="D31" s="181" t="s">
        <v>633</v>
      </c>
      <c r="E31" s="181"/>
      <c r="F31" s="181"/>
      <c r="G31" s="181"/>
      <c r="H31" s="181"/>
      <c r="I31" s="181"/>
      <c r="J31" s="181"/>
      <c r="K31" s="181"/>
      <c r="L31" s="181"/>
      <c r="M31" s="181"/>
      <c r="N31" s="181"/>
      <c r="O31" s="181"/>
      <c r="P31" s="181"/>
      <c r="Q31" s="181"/>
      <c r="R31" s="181"/>
      <c r="S31" s="181"/>
      <c r="T31" s="181"/>
      <c r="U31" s="181"/>
      <c r="V31" s="181"/>
      <c r="X31" s="181" t="s">
        <v>634</v>
      </c>
      <c r="Y31" s="181"/>
      <c r="Z31" s="181"/>
      <c r="AA31" s="181"/>
      <c r="AB31" s="181"/>
      <c r="AC31" s="181"/>
      <c r="AD31" s="181"/>
      <c r="AE31" s="181"/>
      <c r="AF31" s="181"/>
      <c r="AG31" s="181"/>
      <c r="AH31" s="181"/>
      <c r="AI31" s="181"/>
      <c r="AJ31" s="181"/>
      <c r="AK31" s="181"/>
      <c r="AL31" s="181"/>
      <c r="AM31" s="181"/>
      <c r="AN31" s="181"/>
      <c r="AO31" s="181"/>
      <c r="AP31" s="181"/>
    </row>
    <row r="32" customFormat="false" ht="15.75" hidden="false" customHeight="false" outlineLevel="0" collapsed="false">
      <c r="B32" s="111" t="s">
        <v>610</v>
      </c>
      <c r="C32" s="111"/>
      <c r="D32" s="182" t="s">
        <v>635</v>
      </c>
      <c r="J32" s="182" t="s">
        <v>636</v>
      </c>
      <c r="P32" s="185" t="s">
        <v>637</v>
      </c>
      <c r="S32" s="184"/>
      <c r="T32" s="184"/>
      <c r="U32" s="184"/>
      <c r="X32" s="182" t="s">
        <v>638</v>
      </c>
      <c r="AB32" s="184"/>
      <c r="AC32" s="184"/>
      <c r="AE32" s="182" t="s">
        <v>639</v>
      </c>
      <c r="AI32" s="184"/>
      <c r="AK32" s="182" t="s">
        <v>640</v>
      </c>
      <c r="AN32" s="184"/>
    </row>
    <row r="33" customFormat="false" ht="45.75" hidden="false" customHeight="false" outlineLevel="0" collapsed="false">
      <c r="B33" s="111" t="s">
        <v>641</v>
      </c>
      <c r="C33" s="187"/>
      <c r="D33" s="188"/>
      <c r="E33" s="186"/>
      <c r="F33" s="186"/>
      <c r="G33" s="189" t="s">
        <v>617</v>
      </c>
      <c r="H33" s="186"/>
      <c r="I33" s="186"/>
      <c r="J33" s="188"/>
      <c r="K33" s="186"/>
      <c r="L33" s="186"/>
      <c r="M33" s="189" t="s">
        <v>618</v>
      </c>
      <c r="N33" s="186"/>
      <c r="O33" s="186"/>
      <c r="P33" s="190"/>
      <c r="Q33" s="186"/>
      <c r="R33" s="186"/>
      <c r="S33" s="189" t="s">
        <v>619</v>
      </c>
      <c r="T33" s="189" t="s">
        <v>620</v>
      </c>
      <c r="U33" s="189" t="s">
        <v>621</v>
      </c>
      <c r="V33" s="186"/>
      <c r="X33" s="188"/>
      <c r="Y33" s="186"/>
      <c r="Z33" s="186"/>
      <c r="AA33" s="186"/>
      <c r="AB33" s="189" t="s">
        <v>642</v>
      </c>
      <c r="AC33" s="189" t="s">
        <v>643</v>
      </c>
      <c r="AD33" s="186"/>
      <c r="AE33" s="188"/>
      <c r="AF33" s="186"/>
      <c r="AG33" s="186"/>
      <c r="AH33" s="186"/>
      <c r="AI33" s="189" t="s">
        <v>644</v>
      </c>
      <c r="AJ33" s="186"/>
      <c r="AK33" s="188"/>
      <c r="AL33" s="186"/>
      <c r="AM33" s="186"/>
      <c r="AN33" s="189" t="s">
        <v>645</v>
      </c>
      <c r="AO33" s="186"/>
      <c r="AP33" s="186"/>
    </row>
    <row r="34" customFormat="false" ht="15.75" hidden="false" customHeight="false" outlineLevel="0" collapsed="false">
      <c r="C34" s="111"/>
      <c r="D34" s="182"/>
      <c r="E34" s="0" t="s">
        <v>626</v>
      </c>
      <c r="F34" s="0" t="s">
        <v>627</v>
      </c>
      <c r="G34" s="0" t="s">
        <v>628</v>
      </c>
      <c r="H34" s="0" t="s">
        <v>629</v>
      </c>
      <c r="I34" s="0" t="s">
        <v>630</v>
      </c>
      <c r="J34" s="182"/>
      <c r="K34" s="0" t="s">
        <v>626</v>
      </c>
      <c r="L34" s="0" t="s">
        <v>627</v>
      </c>
      <c r="M34" s="0" t="s">
        <v>628</v>
      </c>
      <c r="N34" s="0" t="s">
        <v>629</v>
      </c>
      <c r="O34" s="0" t="s">
        <v>630</v>
      </c>
      <c r="P34" s="191"/>
      <c r="Q34" s="0" t="s">
        <v>626</v>
      </c>
      <c r="R34" s="0" t="s">
        <v>627</v>
      </c>
      <c r="S34" s="0" t="s">
        <v>628</v>
      </c>
      <c r="T34" s="0" t="s">
        <v>629</v>
      </c>
      <c r="U34" s="0" t="s">
        <v>629</v>
      </c>
      <c r="V34" s="0" t="s">
        <v>630</v>
      </c>
      <c r="X34" s="182"/>
      <c r="Y34" s="0" t="s">
        <v>626</v>
      </c>
      <c r="Z34" s="0" t="s">
        <v>627</v>
      </c>
      <c r="AA34" s="0" t="s">
        <v>628</v>
      </c>
      <c r="AB34" s="0" t="s">
        <v>629</v>
      </c>
      <c r="AC34" s="0" t="s">
        <v>629</v>
      </c>
      <c r="AD34" s="0" t="s">
        <v>630</v>
      </c>
      <c r="AE34" s="182"/>
      <c r="AF34" s="0" t="s">
        <v>626</v>
      </c>
      <c r="AG34" s="0" t="s">
        <v>627</v>
      </c>
      <c r="AH34" s="0" t="s">
        <v>628</v>
      </c>
      <c r="AI34" s="0" t="s">
        <v>629</v>
      </c>
      <c r="AJ34" s="0" t="s">
        <v>630</v>
      </c>
      <c r="AK34" s="182"/>
      <c r="AL34" s="0" t="s">
        <v>626</v>
      </c>
      <c r="AM34" s="0" t="s">
        <v>627</v>
      </c>
      <c r="AN34" s="0" t="s">
        <v>628</v>
      </c>
      <c r="AO34" s="0" t="s">
        <v>629</v>
      </c>
      <c r="AP34" s="0" t="s">
        <v>630</v>
      </c>
    </row>
    <row r="35" customFormat="false" ht="15.75" hidden="false" customHeight="false" outlineLevel="0" collapsed="false">
      <c r="C35" s="111" t="n">
        <v>2001</v>
      </c>
      <c r="D35" s="182"/>
      <c r="E35" s="0" t="n">
        <v>0.6</v>
      </c>
      <c r="F35" s="192"/>
      <c r="G35" s="192"/>
      <c r="H35" s="192"/>
      <c r="I35" s="192"/>
      <c r="J35" s="182"/>
      <c r="K35" s="0" t="n">
        <v>0.6</v>
      </c>
      <c r="L35" s="192"/>
      <c r="M35" s="192"/>
      <c r="N35" s="192"/>
      <c r="O35" s="192"/>
      <c r="P35" s="191"/>
      <c r="Q35" s="197" t="n">
        <v>1.5</v>
      </c>
      <c r="R35" s="192"/>
      <c r="S35" s="192"/>
      <c r="T35" s="192"/>
      <c r="U35" s="192"/>
      <c r="V35" s="192"/>
      <c r="X35" s="182"/>
      <c r="Y35" s="0" t="n">
        <v>5.9</v>
      </c>
      <c r="Z35" s="192"/>
      <c r="AA35" s="192"/>
      <c r="AB35" s="192"/>
      <c r="AC35" s="192"/>
      <c r="AD35" s="192"/>
      <c r="AE35" s="182"/>
      <c r="AF35" s="0" t="n">
        <v>7</v>
      </c>
      <c r="AG35" s="192"/>
      <c r="AH35" s="192"/>
      <c r="AI35" s="192"/>
      <c r="AJ35" s="192"/>
      <c r="AK35" s="182"/>
      <c r="AL35" s="0" t="n">
        <v>0.15</v>
      </c>
      <c r="AM35" s="192"/>
      <c r="AN35" s="192"/>
      <c r="AO35" s="192"/>
      <c r="AP35" s="192"/>
    </row>
    <row r="36" customFormat="false" ht="15.75" hidden="false" customHeight="false" outlineLevel="0" collapsed="false">
      <c r="C36" s="111" t="n">
        <v>2002</v>
      </c>
      <c r="D36" s="182"/>
      <c r="E36" s="0" t="n">
        <v>0.6</v>
      </c>
      <c r="F36" s="192"/>
      <c r="G36" s="192"/>
      <c r="H36" s="192"/>
      <c r="I36" s="192"/>
      <c r="J36" s="182"/>
      <c r="K36" s="0" t="n">
        <v>0.6</v>
      </c>
      <c r="L36" s="192"/>
      <c r="M36" s="192"/>
      <c r="N36" s="192"/>
      <c r="O36" s="192"/>
      <c r="P36" s="191"/>
      <c r="Q36" s="197" t="n">
        <v>1.5</v>
      </c>
      <c r="R36" s="192"/>
      <c r="S36" s="192"/>
      <c r="T36" s="192"/>
      <c r="U36" s="192"/>
      <c r="V36" s="192"/>
      <c r="X36" s="182"/>
      <c r="Y36" s="0" t="n">
        <v>5.9</v>
      </c>
      <c r="Z36" s="192"/>
      <c r="AA36" s="192"/>
      <c r="AB36" s="192"/>
      <c r="AC36" s="192"/>
      <c r="AD36" s="192"/>
      <c r="AE36" s="182"/>
      <c r="AF36" s="0" t="n">
        <v>6</v>
      </c>
      <c r="AG36" s="192"/>
      <c r="AH36" s="192"/>
      <c r="AI36" s="192"/>
      <c r="AJ36" s="192"/>
      <c r="AK36" s="182"/>
      <c r="AL36" s="0" t="n">
        <v>0.075</v>
      </c>
      <c r="AM36" s="192"/>
      <c r="AN36" s="192"/>
      <c r="AO36" s="192"/>
      <c r="AP36" s="192"/>
    </row>
    <row r="37" customFormat="false" ht="15.75" hidden="false" customHeight="false" outlineLevel="0" collapsed="false">
      <c r="C37" s="111" t="n">
        <v>2003</v>
      </c>
      <c r="D37" s="182"/>
      <c r="E37" s="197" t="n">
        <v>0.45</v>
      </c>
      <c r="F37" s="197" t="n">
        <v>0.6</v>
      </c>
      <c r="G37" s="192"/>
      <c r="H37" s="192"/>
      <c r="I37" s="192"/>
      <c r="J37" s="182"/>
      <c r="K37" s="197" t="n">
        <v>0.45</v>
      </c>
      <c r="L37" s="197" t="n">
        <v>0.6</v>
      </c>
      <c r="M37" s="192"/>
      <c r="N37" s="192"/>
      <c r="O37" s="192"/>
      <c r="P37" s="191"/>
      <c r="Q37" s="197" t="n">
        <v>1.5</v>
      </c>
      <c r="R37" s="197" t="n">
        <v>1.5</v>
      </c>
      <c r="S37" s="192"/>
      <c r="T37" s="192"/>
      <c r="U37" s="192"/>
      <c r="V37" s="192"/>
      <c r="X37" s="182"/>
      <c r="Y37" s="197" t="n">
        <v>3.5</v>
      </c>
      <c r="Z37" s="197" t="n">
        <v>9</v>
      </c>
      <c r="AA37" s="192"/>
      <c r="AB37" s="192"/>
      <c r="AC37" s="192"/>
      <c r="AD37" s="192"/>
      <c r="AE37" s="182"/>
      <c r="AF37" s="0" t="n">
        <v>6</v>
      </c>
      <c r="AG37" s="0" t="n">
        <v>6</v>
      </c>
      <c r="AH37" s="192"/>
      <c r="AI37" s="192"/>
      <c r="AJ37" s="192"/>
      <c r="AK37" s="182"/>
      <c r="AL37" s="0" t="n">
        <v>0.075</v>
      </c>
      <c r="AN37" s="192"/>
      <c r="AO37" s="192"/>
      <c r="AP37" s="192"/>
    </row>
    <row r="38" customFormat="false" ht="15.75" hidden="false" customHeight="false" outlineLevel="0" collapsed="false">
      <c r="C38" s="111" t="n">
        <v>2004</v>
      </c>
      <c r="D38" s="182"/>
      <c r="E38" s="197" t="n">
        <v>0.45</v>
      </c>
      <c r="F38" s="197" t="n">
        <v>0.6</v>
      </c>
      <c r="G38" s="192"/>
      <c r="H38" s="192"/>
      <c r="I38" s="192"/>
      <c r="J38" s="182"/>
      <c r="K38" s="197" t="n">
        <v>0.45</v>
      </c>
      <c r="L38" s="197" t="n">
        <v>0.6</v>
      </c>
      <c r="M38" s="192"/>
      <c r="N38" s="192"/>
      <c r="O38" s="192"/>
      <c r="P38" s="191"/>
      <c r="Q38" s="197" t="n">
        <v>1.5</v>
      </c>
      <c r="R38" s="197" t="n">
        <v>1.5</v>
      </c>
      <c r="S38" s="192"/>
      <c r="T38" s="192"/>
      <c r="U38" s="192"/>
      <c r="V38" s="192"/>
      <c r="X38" s="182"/>
      <c r="Y38" s="197" t="n">
        <v>3.5</v>
      </c>
      <c r="Z38" s="197" t="n">
        <v>9</v>
      </c>
      <c r="AA38" s="192"/>
      <c r="AB38" s="192"/>
      <c r="AC38" s="192"/>
      <c r="AD38" s="192"/>
      <c r="AE38" s="182"/>
      <c r="AF38" s="0" t="n">
        <v>6</v>
      </c>
      <c r="AG38" s="0" t="n">
        <v>6</v>
      </c>
      <c r="AH38" s="192"/>
      <c r="AI38" s="192"/>
      <c r="AJ38" s="192"/>
      <c r="AK38" s="182"/>
      <c r="AL38" s="197" t="n">
        <v>0.06</v>
      </c>
      <c r="AN38" s="192"/>
      <c r="AO38" s="192"/>
      <c r="AP38" s="192"/>
    </row>
    <row r="39" customFormat="false" ht="15.75" hidden="false" customHeight="false" outlineLevel="0" collapsed="false">
      <c r="C39" s="111" t="n">
        <v>2005</v>
      </c>
      <c r="D39" s="182"/>
      <c r="E39" s="194" t="n">
        <v>0.35</v>
      </c>
      <c r="F39" s="197" t="n">
        <v>0.6</v>
      </c>
      <c r="G39" s="192"/>
      <c r="H39" s="192"/>
      <c r="I39" s="192"/>
      <c r="J39" s="182"/>
      <c r="K39" s="194" t="n">
        <v>0.35</v>
      </c>
      <c r="L39" s="197" t="n">
        <v>0.6</v>
      </c>
      <c r="M39" s="192"/>
      <c r="N39" s="192"/>
      <c r="O39" s="192"/>
      <c r="P39" s="191"/>
      <c r="Q39" s="194" t="n">
        <v>1</v>
      </c>
      <c r="R39" s="194" t="n">
        <v>1</v>
      </c>
      <c r="S39" s="192"/>
      <c r="T39" s="192"/>
      <c r="U39" s="192"/>
      <c r="V39" s="192"/>
      <c r="X39" s="182"/>
      <c r="Y39" s="194" t="n">
        <v>3.5</v>
      </c>
      <c r="Z39" s="197" t="n">
        <v>9</v>
      </c>
      <c r="AA39" s="192"/>
      <c r="AB39" s="192"/>
      <c r="AC39" s="192"/>
      <c r="AD39" s="192"/>
      <c r="AE39" s="182"/>
      <c r="AF39" s="197" t="n">
        <v>5</v>
      </c>
      <c r="AG39" s="197" t="n">
        <v>5</v>
      </c>
      <c r="AH39" s="192"/>
      <c r="AI39" s="192"/>
      <c r="AJ39" s="192"/>
      <c r="AK39" s="182"/>
      <c r="AL39" s="197" t="n">
        <v>0.06</v>
      </c>
      <c r="AN39" s="192"/>
      <c r="AO39" s="192"/>
      <c r="AP39" s="192"/>
    </row>
    <row r="40" customFormat="false" ht="15.75" hidden="false" customHeight="false" outlineLevel="0" collapsed="false">
      <c r="C40" s="111" t="n">
        <v>2006</v>
      </c>
      <c r="D40" s="182"/>
      <c r="E40" s="194" t="n">
        <v>0.35</v>
      </c>
      <c r="F40" s="197" t="n">
        <v>0.45</v>
      </c>
      <c r="G40" s="192"/>
      <c r="H40" s="192"/>
      <c r="I40" s="192"/>
      <c r="J40" s="182"/>
      <c r="K40" s="194" t="n">
        <v>0.35</v>
      </c>
      <c r="L40" s="197" t="n">
        <v>0.45</v>
      </c>
      <c r="M40" s="192"/>
      <c r="N40" s="192"/>
      <c r="O40" s="192"/>
      <c r="P40" s="191"/>
      <c r="Q40" s="194" t="n">
        <v>1</v>
      </c>
      <c r="R40" s="194" t="n">
        <v>1</v>
      </c>
      <c r="S40" s="192"/>
      <c r="T40" s="192"/>
      <c r="U40" s="192"/>
      <c r="V40" s="192"/>
      <c r="X40" s="182"/>
      <c r="Y40" s="194" t="n">
        <v>3.5</v>
      </c>
      <c r="Z40" s="197" t="n">
        <v>9</v>
      </c>
      <c r="AA40" s="192"/>
      <c r="AB40" s="192"/>
      <c r="AC40" s="192"/>
      <c r="AD40" s="192"/>
      <c r="AE40" s="182"/>
      <c r="AF40" s="197" t="n">
        <v>5</v>
      </c>
      <c r="AG40" s="197" t="n">
        <v>5</v>
      </c>
      <c r="AH40" s="192"/>
      <c r="AI40" s="192"/>
      <c r="AJ40" s="192"/>
      <c r="AK40" s="182"/>
      <c r="AL40" s="197" t="n">
        <v>0.06</v>
      </c>
      <c r="AN40" s="192"/>
      <c r="AO40" s="192"/>
      <c r="AP40" s="192"/>
    </row>
    <row r="41" customFormat="false" ht="15.75" hidden="false" customHeight="false" outlineLevel="0" collapsed="false">
      <c r="C41" s="111" t="n">
        <v>2007</v>
      </c>
      <c r="D41" s="182"/>
      <c r="E41" s="194" t="n">
        <v>0.35</v>
      </c>
      <c r="F41" s="197" t="n">
        <v>0.45</v>
      </c>
      <c r="G41" s="0" t="n">
        <v>0.375</v>
      </c>
      <c r="H41" s="192"/>
      <c r="I41" s="192"/>
      <c r="J41" s="182"/>
      <c r="K41" s="194" t="n">
        <v>0.35</v>
      </c>
      <c r="L41" s="197" t="n">
        <v>0.45</v>
      </c>
      <c r="M41" s="0" t="n">
        <v>0.7</v>
      </c>
      <c r="N41" s="192"/>
      <c r="O41" s="192"/>
      <c r="P41" s="191"/>
      <c r="Q41" s="194" t="n">
        <v>1</v>
      </c>
      <c r="R41" s="194" t="n">
        <v>1</v>
      </c>
      <c r="S41" s="205" t="n">
        <v>1.4</v>
      </c>
      <c r="T41" s="192"/>
      <c r="U41" s="192"/>
      <c r="V41" s="192"/>
      <c r="X41" s="182"/>
      <c r="Y41" s="194" t="n">
        <v>3.5</v>
      </c>
      <c r="Z41" s="197" t="n">
        <v>9</v>
      </c>
      <c r="AA41" s="0" t="n">
        <v>15</v>
      </c>
      <c r="AB41" s="192"/>
      <c r="AC41" s="192"/>
      <c r="AD41" s="192"/>
      <c r="AE41" s="182"/>
      <c r="AF41" s="197" t="n">
        <v>5</v>
      </c>
      <c r="AG41" s="197" t="n">
        <v>5</v>
      </c>
      <c r="AH41" s="0" t="n">
        <v>8</v>
      </c>
      <c r="AI41" s="192"/>
      <c r="AJ41" s="192"/>
      <c r="AK41" s="182"/>
      <c r="AL41" s="197" t="n">
        <v>0.06</v>
      </c>
      <c r="AN41" s="0" t="n">
        <f aca="false">0.9*$AL$39</f>
        <v>0.054</v>
      </c>
      <c r="AO41" s="192"/>
      <c r="AP41" s="192"/>
    </row>
    <row r="42" customFormat="false" ht="15.75" hidden="false" customHeight="false" outlineLevel="0" collapsed="false">
      <c r="C42" s="111" t="n">
        <v>2008</v>
      </c>
      <c r="D42" s="182"/>
      <c r="F42" s="194" t="n">
        <v>0.35</v>
      </c>
      <c r="G42" s="0" t="n">
        <v>0.375</v>
      </c>
      <c r="H42" s="192"/>
      <c r="I42" s="192"/>
      <c r="J42" s="182"/>
      <c r="L42" s="194" t="n">
        <v>0.35</v>
      </c>
      <c r="M42" s="0" t="n">
        <v>0.7</v>
      </c>
      <c r="N42" s="192"/>
      <c r="O42" s="192"/>
      <c r="P42" s="191"/>
      <c r="R42" s="194" t="n">
        <v>1</v>
      </c>
      <c r="S42" s="205" t="n">
        <v>1.4</v>
      </c>
      <c r="T42" s="192"/>
      <c r="U42" s="192"/>
      <c r="V42" s="192"/>
      <c r="X42" s="182"/>
      <c r="Z42" s="197" t="n">
        <v>9</v>
      </c>
      <c r="AA42" s="0" t="n">
        <v>13.5</v>
      </c>
      <c r="AB42" s="192"/>
      <c r="AC42" s="192"/>
      <c r="AD42" s="192"/>
      <c r="AE42" s="182"/>
      <c r="AG42" s="197" t="n">
        <v>5</v>
      </c>
      <c r="AH42" s="0" t="n">
        <v>7.5</v>
      </c>
      <c r="AI42" s="192"/>
      <c r="AJ42" s="192"/>
      <c r="AK42" s="182"/>
      <c r="AN42" s="0" t="n">
        <f aca="false">0.9*$AL$39</f>
        <v>0.054</v>
      </c>
      <c r="AO42" s="192"/>
      <c r="AP42" s="192"/>
    </row>
    <row r="43" customFormat="false" ht="15.75" hidden="false" customHeight="false" outlineLevel="0" collapsed="false">
      <c r="C43" s="111" t="n">
        <v>2009</v>
      </c>
      <c r="D43" s="182"/>
      <c r="F43" s="194" t="n">
        <v>0.35</v>
      </c>
      <c r="G43" s="0" t="n">
        <v>0.375</v>
      </c>
      <c r="H43" s="192"/>
      <c r="I43" s="192"/>
      <c r="J43" s="182"/>
      <c r="L43" s="194" t="n">
        <v>0.35</v>
      </c>
      <c r="M43" s="0" t="n">
        <v>0.7</v>
      </c>
      <c r="N43" s="192"/>
      <c r="O43" s="192"/>
      <c r="P43" s="191"/>
      <c r="R43" s="194" t="n">
        <v>1</v>
      </c>
      <c r="S43" s="205" t="n">
        <v>1.4</v>
      </c>
      <c r="T43" s="192"/>
      <c r="U43" s="192"/>
      <c r="V43" s="192"/>
      <c r="X43" s="182"/>
      <c r="Z43" s="197" t="n">
        <v>9</v>
      </c>
      <c r="AA43" s="0" t="n">
        <v>13.5</v>
      </c>
      <c r="AB43" s="192"/>
      <c r="AC43" s="192"/>
      <c r="AD43" s="192"/>
      <c r="AE43" s="182"/>
      <c r="AG43" s="197" t="n">
        <v>5</v>
      </c>
      <c r="AH43" s="0" t="n">
        <v>7.5</v>
      </c>
      <c r="AI43" s="192"/>
      <c r="AJ43" s="192"/>
      <c r="AK43" s="182"/>
      <c r="AN43" s="0" t="n">
        <f aca="false">0.9*$AL$39</f>
        <v>0.054</v>
      </c>
      <c r="AO43" s="192"/>
      <c r="AP43" s="192"/>
    </row>
    <row r="44" customFormat="false" ht="15.75" hidden="false" customHeight="false" outlineLevel="0" collapsed="false">
      <c r="C44" s="111" t="n">
        <v>2010</v>
      </c>
      <c r="D44" s="182"/>
      <c r="E44" s="194" t="n">
        <v>0.35</v>
      </c>
      <c r="F44" s="194" t="n">
        <v>0.35</v>
      </c>
      <c r="G44" s="197" t="n">
        <v>0.325</v>
      </c>
      <c r="H44" s="192"/>
      <c r="I44" s="192"/>
      <c r="J44" s="182"/>
      <c r="K44" s="194" t="n">
        <v>0.35</v>
      </c>
      <c r="L44" s="194" t="n">
        <v>0.35</v>
      </c>
      <c r="M44" s="197" t="n">
        <v>0.55</v>
      </c>
      <c r="N44" s="192"/>
      <c r="O44" s="192"/>
      <c r="P44" s="191"/>
      <c r="Q44" s="194" t="n">
        <v>0.8</v>
      </c>
      <c r="R44" s="194" t="n">
        <v>0.8</v>
      </c>
      <c r="S44" s="206" t="n">
        <v>1.2</v>
      </c>
      <c r="T44" s="192"/>
      <c r="U44" s="192"/>
      <c r="V44" s="192"/>
      <c r="X44" s="182"/>
      <c r="Y44" s="194" t="n">
        <v>3.5</v>
      </c>
      <c r="Z44" s="194" t="n">
        <v>3.5</v>
      </c>
      <c r="AA44" s="197" t="n">
        <v>11</v>
      </c>
      <c r="AB44" s="192"/>
      <c r="AC44" s="192"/>
      <c r="AD44" s="192"/>
      <c r="AE44" s="182"/>
      <c r="AF44" s="194" t="n">
        <v>4</v>
      </c>
      <c r="AG44" s="194" t="n">
        <v>4.6</v>
      </c>
      <c r="AH44" s="197" t="n">
        <v>6.5</v>
      </c>
      <c r="AI44" s="192"/>
      <c r="AJ44" s="192"/>
      <c r="AK44" s="182"/>
      <c r="AL44" s="194" t="n">
        <v>0.05</v>
      </c>
      <c r="AN44" s="197" t="n">
        <f aca="false">0.8*$AL$39</f>
        <v>0.048</v>
      </c>
      <c r="AO44" s="192"/>
      <c r="AP44" s="192"/>
    </row>
    <row r="45" customFormat="false" ht="15.75" hidden="false" customHeight="false" outlineLevel="0" collapsed="false">
      <c r="C45" s="111" t="n">
        <v>2011</v>
      </c>
      <c r="D45" s="182"/>
      <c r="G45" s="197" t="n">
        <v>0.325</v>
      </c>
      <c r="H45" s="192"/>
      <c r="I45" s="192"/>
      <c r="J45" s="182"/>
      <c r="M45" s="197" t="n">
        <v>0.55</v>
      </c>
      <c r="N45" s="192"/>
      <c r="O45" s="192"/>
      <c r="P45" s="191"/>
      <c r="S45" s="206" t="n">
        <v>1.2</v>
      </c>
      <c r="T45" s="192"/>
      <c r="U45" s="192"/>
      <c r="V45" s="192"/>
      <c r="X45" s="182"/>
      <c r="AA45" s="197" t="n">
        <v>11</v>
      </c>
      <c r="AB45" s="192"/>
      <c r="AC45" s="192"/>
      <c r="AD45" s="192"/>
      <c r="AE45" s="182"/>
      <c r="AH45" s="197" t="n">
        <v>6.5</v>
      </c>
      <c r="AI45" s="192"/>
      <c r="AJ45" s="192"/>
      <c r="AK45" s="182"/>
      <c r="AN45" s="197" t="n">
        <f aca="false">0.8*$AL$39</f>
        <v>0.048</v>
      </c>
      <c r="AO45" s="192"/>
      <c r="AP45" s="192"/>
    </row>
    <row r="46" customFormat="false" ht="15.75" hidden="false" customHeight="false" outlineLevel="0" collapsed="false">
      <c r="C46" s="111" t="n">
        <v>2012</v>
      </c>
      <c r="D46" s="182"/>
      <c r="F46" s="194" t="n">
        <v>0.35</v>
      </c>
      <c r="G46" s="197" t="n">
        <v>0.325</v>
      </c>
      <c r="H46" s="192"/>
      <c r="I46" s="192"/>
      <c r="J46" s="182"/>
      <c r="L46" s="194" t="n">
        <v>0.35</v>
      </c>
      <c r="M46" s="197" t="n">
        <v>0.55</v>
      </c>
      <c r="N46" s="192"/>
      <c r="O46" s="192"/>
      <c r="P46" s="191"/>
      <c r="R46" s="194" t="n">
        <v>0.8</v>
      </c>
      <c r="S46" s="206" t="n">
        <v>1.2</v>
      </c>
      <c r="T46" s="192"/>
      <c r="U46" s="192"/>
      <c r="V46" s="192"/>
      <c r="X46" s="182"/>
      <c r="Z46" s="194" t="n">
        <v>3.5</v>
      </c>
      <c r="AA46" s="197" t="n">
        <v>11</v>
      </c>
      <c r="AB46" s="192"/>
      <c r="AC46" s="192"/>
      <c r="AD46" s="192"/>
      <c r="AE46" s="182"/>
      <c r="AG46" s="194" t="n">
        <v>4.6</v>
      </c>
      <c r="AH46" s="197" t="n">
        <v>6.5</v>
      </c>
      <c r="AI46" s="192"/>
      <c r="AJ46" s="192"/>
      <c r="AK46" s="182"/>
      <c r="AN46" s="197" t="n">
        <f aca="false">0.8*$AL$39</f>
        <v>0.048</v>
      </c>
      <c r="AO46" s="192"/>
      <c r="AP46" s="192"/>
    </row>
    <row r="47" customFormat="false" ht="15.75" hidden="false" customHeight="false" outlineLevel="0" collapsed="false">
      <c r="C47" s="111" t="n">
        <v>2013</v>
      </c>
      <c r="D47" s="182"/>
      <c r="E47" s="194" t="n">
        <v>0.35</v>
      </c>
      <c r="F47" s="194" t="n">
        <v>0.35</v>
      </c>
      <c r="G47" s="194" t="n">
        <v>0.275</v>
      </c>
      <c r="H47" s="192"/>
      <c r="I47" s="192"/>
      <c r="J47" s="182"/>
      <c r="K47" s="194" t="n">
        <v>0.35</v>
      </c>
      <c r="L47" s="194" t="n">
        <v>0.35</v>
      </c>
      <c r="M47" s="194" t="n">
        <v>0.45</v>
      </c>
      <c r="N47" s="192"/>
      <c r="O47" s="192"/>
      <c r="P47" s="191"/>
      <c r="Q47" s="194" t="n">
        <v>0.8</v>
      </c>
      <c r="R47" s="194" t="n">
        <v>0.8</v>
      </c>
      <c r="S47" s="207" t="n">
        <v>1.05</v>
      </c>
      <c r="T47" s="208" t="n">
        <v>1</v>
      </c>
      <c r="U47" s="192"/>
      <c r="V47" s="192"/>
      <c r="X47" s="182"/>
      <c r="Y47" s="194" t="n">
        <v>3.5</v>
      </c>
      <c r="Z47" s="194" t="n">
        <v>3.5</v>
      </c>
      <c r="AA47" s="194" t="n">
        <v>9</v>
      </c>
      <c r="AB47" s="209" t="n">
        <v>7.6</v>
      </c>
      <c r="AC47" s="208" t="n">
        <v>7.8</v>
      </c>
      <c r="AD47" s="192"/>
      <c r="AE47" s="182"/>
      <c r="AF47" s="194" t="n">
        <v>4</v>
      </c>
      <c r="AG47" s="194" t="n">
        <v>4.6</v>
      </c>
      <c r="AH47" s="194" t="n">
        <v>5</v>
      </c>
      <c r="AI47" s="208" t="n">
        <v>6.5</v>
      </c>
      <c r="AJ47" s="192"/>
      <c r="AK47" s="182"/>
      <c r="AL47" s="194" t="n">
        <v>0.05</v>
      </c>
      <c r="AN47" s="194"/>
      <c r="AO47" s="192"/>
      <c r="AP47" s="192"/>
    </row>
    <row r="48" customFormat="false" ht="15.75" hidden="false" customHeight="false" outlineLevel="0" collapsed="false">
      <c r="C48" s="111" t="n">
        <v>2014</v>
      </c>
      <c r="D48" s="182"/>
      <c r="G48" s="194" t="n">
        <v>0.275</v>
      </c>
      <c r="H48" s="192"/>
      <c r="I48" s="192"/>
      <c r="J48" s="182"/>
      <c r="M48" s="194" t="n">
        <v>0.45</v>
      </c>
      <c r="N48" s="192"/>
      <c r="O48" s="192"/>
      <c r="P48" s="191"/>
      <c r="S48" s="207" t="n">
        <v>1.05</v>
      </c>
      <c r="T48" s="210" t="n">
        <v>1</v>
      </c>
      <c r="U48" s="192"/>
      <c r="V48" s="192"/>
      <c r="X48" s="182"/>
      <c r="AA48" s="194" t="n">
        <v>9</v>
      </c>
      <c r="AB48" s="211" t="n">
        <v>7.6</v>
      </c>
      <c r="AC48" s="210" t="n">
        <v>7.8</v>
      </c>
      <c r="AD48" s="192"/>
      <c r="AE48" s="182"/>
      <c r="AH48" s="194" t="n">
        <v>5</v>
      </c>
      <c r="AI48" s="210" t="n">
        <v>6.5</v>
      </c>
      <c r="AJ48" s="192"/>
      <c r="AK48" s="182"/>
      <c r="AN48" s="194"/>
      <c r="AO48" s="192"/>
      <c r="AP48" s="192"/>
    </row>
    <row r="49" customFormat="false" ht="15.75" hidden="false" customHeight="false" outlineLevel="0" collapsed="false">
      <c r="C49" s="111" t="n">
        <v>2015</v>
      </c>
      <c r="D49" s="182"/>
      <c r="F49" s="194" t="n">
        <v>0.35</v>
      </c>
      <c r="G49" s="194" t="n">
        <v>0.275</v>
      </c>
      <c r="I49" s="192"/>
      <c r="J49" s="182"/>
      <c r="L49" s="194" t="n">
        <v>0.35</v>
      </c>
      <c r="M49" s="194" t="n">
        <v>0.45</v>
      </c>
      <c r="O49" s="192"/>
      <c r="P49" s="191"/>
      <c r="R49" s="194" t="n">
        <v>0.8</v>
      </c>
      <c r="S49" s="207" t="n">
        <v>1.05</v>
      </c>
      <c r="T49" s="211" t="n">
        <v>1</v>
      </c>
      <c r="U49" s="212" t="n">
        <v>1.2</v>
      </c>
      <c r="V49" s="192"/>
      <c r="X49" s="182"/>
      <c r="Z49" s="194" t="n">
        <v>3.5</v>
      </c>
      <c r="AA49" s="194" t="n">
        <v>9</v>
      </c>
      <c r="AB49" s="213" t="n">
        <v>7</v>
      </c>
      <c r="AC49" s="214" t="n">
        <v>7.3</v>
      </c>
      <c r="AD49" s="192"/>
      <c r="AE49" s="182"/>
      <c r="AG49" s="194" t="n">
        <v>4.6</v>
      </c>
      <c r="AH49" s="194" t="n">
        <v>5</v>
      </c>
      <c r="AI49" s="210" t="n">
        <v>6.5</v>
      </c>
      <c r="AJ49" s="192"/>
      <c r="AK49" s="182"/>
      <c r="AN49" s="194"/>
      <c r="AP49" s="192"/>
    </row>
    <row r="50" customFormat="false" ht="15.75" hidden="false" customHeight="false" outlineLevel="0" collapsed="false">
      <c r="C50" s="111" t="n">
        <v>2016</v>
      </c>
      <c r="D50" s="182"/>
      <c r="E50" s="194" t="n">
        <v>0.35</v>
      </c>
      <c r="F50" s="194" t="n">
        <v>0.35</v>
      </c>
      <c r="G50" s="194" t="n">
        <v>0.25</v>
      </c>
      <c r="I50" s="192"/>
      <c r="J50" s="182"/>
      <c r="K50" s="194" t="n">
        <v>0.35</v>
      </c>
      <c r="L50" s="194" t="n">
        <v>0.35</v>
      </c>
      <c r="M50" s="194" t="n">
        <v>0.325</v>
      </c>
      <c r="O50" s="192"/>
      <c r="P50" s="191"/>
      <c r="Q50" s="194" t="n">
        <v>0.8</v>
      </c>
      <c r="R50" s="194" t="n">
        <v>0.8</v>
      </c>
      <c r="S50" s="194" t="n">
        <v>0.875</v>
      </c>
      <c r="T50" s="213" t="n">
        <v>0.9</v>
      </c>
      <c r="U50" s="214" t="n">
        <v>1.2</v>
      </c>
      <c r="V50" s="192"/>
      <c r="X50" s="182"/>
      <c r="Y50" s="194" t="n">
        <v>3.5</v>
      </c>
      <c r="Z50" s="194" t="n">
        <v>3.5</v>
      </c>
      <c r="AA50" s="194" t="n">
        <v>7</v>
      </c>
      <c r="AB50" s="213" t="n">
        <v>6.4</v>
      </c>
      <c r="AC50" s="214" t="n">
        <v>7</v>
      </c>
      <c r="AD50" s="192"/>
      <c r="AE50" s="182"/>
      <c r="AF50" s="194" t="n">
        <v>4</v>
      </c>
      <c r="AG50" s="194" t="n">
        <v>4.6</v>
      </c>
      <c r="AH50" s="194" t="n">
        <v>3.5</v>
      </c>
      <c r="AI50" s="214" t="n">
        <v>6</v>
      </c>
      <c r="AJ50" s="192"/>
      <c r="AK50" s="182"/>
      <c r="AL50" s="194" t="n">
        <v>0.05</v>
      </c>
      <c r="AN50" s="194" t="n">
        <f aca="false">0.5*$AL$39</f>
        <v>0.03</v>
      </c>
      <c r="AP50" s="192"/>
    </row>
    <row r="51" customFormat="false" ht="15.75" hidden="false" customHeight="false" outlineLevel="0" collapsed="false">
      <c r="C51" s="111" t="n">
        <v>2017</v>
      </c>
      <c r="D51" s="182"/>
      <c r="E51" s="192"/>
      <c r="G51" s="194" t="n">
        <v>0.25</v>
      </c>
      <c r="J51" s="182"/>
      <c r="K51" s="192"/>
      <c r="M51" s="194" t="n">
        <v>0.325</v>
      </c>
      <c r="P51" s="191"/>
      <c r="Q51" s="192"/>
      <c r="S51" s="194" t="n">
        <v>0.875</v>
      </c>
      <c r="T51" s="213" t="n">
        <v>0.9</v>
      </c>
      <c r="U51" s="214" t="n">
        <v>1.2</v>
      </c>
      <c r="X51" s="182"/>
      <c r="Y51" s="192"/>
      <c r="AA51" s="194" t="n">
        <v>7</v>
      </c>
      <c r="AB51" s="213" t="n">
        <v>5.8</v>
      </c>
      <c r="AC51" s="214" t="n">
        <v>6.4</v>
      </c>
      <c r="AE51" s="182"/>
      <c r="AF51" s="192"/>
      <c r="AH51" s="194" t="n">
        <v>3.5</v>
      </c>
      <c r="AI51" s="214" t="n">
        <v>6</v>
      </c>
      <c r="AK51" s="182"/>
      <c r="AL51" s="192"/>
      <c r="AN51" s="194" t="n">
        <f aca="false">0.5*$AL$39</f>
        <v>0.03</v>
      </c>
    </row>
    <row r="52" customFormat="false" ht="15.75" hidden="false" customHeight="false" outlineLevel="0" collapsed="false">
      <c r="C52" s="111" t="n">
        <v>2018</v>
      </c>
      <c r="D52" s="182"/>
      <c r="E52" s="192"/>
      <c r="F52" s="194" t="n">
        <v>0.35</v>
      </c>
      <c r="G52" s="194" t="n">
        <v>0.25</v>
      </c>
      <c r="J52" s="182"/>
      <c r="K52" s="192"/>
      <c r="L52" s="194" t="n">
        <v>0.35</v>
      </c>
      <c r="M52" s="194" t="n">
        <v>0.325</v>
      </c>
      <c r="P52" s="191"/>
      <c r="Q52" s="192"/>
      <c r="R52" s="194" t="n">
        <v>0.8</v>
      </c>
      <c r="S52" s="194" t="n">
        <v>0.875</v>
      </c>
      <c r="T52" s="213" t="n">
        <v>0.9</v>
      </c>
      <c r="U52" s="215" t="n">
        <v>1.2</v>
      </c>
      <c r="X52" s="182"/>
      <c r="Y52" s="192"/>
      <c r="Z52" s="194" t="n">
        <v>3.5</v>
      </c>
      <c r="AA52" s="194" t="n">
        <v>7</v>
      </c>
      <c r="AB52" s="213" t="n">
        <v>5.8</v>
      </c>
      <c r="AC52" s="214" t="n">
        <v>6.4</v>
      </c>
      <c r="AE52" s="182"/>
      <c r="AF52" s="192"/>
      <c r="AG52" s="194" t="n">
        <v>4.6</v>
      </c>
      <c r="AH52" s="194" t="n">
        <v>3.5</v>
      </c>
      <c r="AI52" s="214" t="n">
        <v>6</v>
      </c>
      <c r="AK52" s="182"/>
      <c r="AL52" s="192"/>
      <c r="AN52" s="194" t="n">
        <f aca="false">0.5*$AL$39</f>
        <v>0.03</v>
      </c>
    </row>
    <row r="53" customFormat="false" ht="15.75" hidden="false" customHeight="false" outlineLevel="0" collapsed="false">
      <c r="C53" s="111" t="n">
        <v>2019</v>
      </c>
      <c r="D53" s="182"/>
      <c r="E53" s="192"/>
      <c r="F53" s="192"/>
      <c r="G53" s="194" t="n">
        <v>0.25</v>
      </c>
      <c r="J53" s="182"/>
      <c r="K53" s="192"/>
      <c r="L53" s="192"/>
      <c r="M53" s="194" t="n">
        <v>0.325</v>
      </c>
      <c r="P53" s="191"/>
      <c r="Q53" s="192"/>
      <c r="R53" s="192"/>
      <c r="S53" s="194" t="n">
        <v>0.875</v>
      </c>
      <c r="T53" s="213" t="n">
        <v>0.8</v>
      </c>
      <c r="U53" s="215" t="n">
        <v>1.2</v>
      </c>
      <c r="X53" s="182"/>
      <c r="Y53" s="192"/>
      <c r="Z53" s="192"/>
      <c r="AA53" s="194" t="n">
        <v>7</v>
      </c>
      <c r="AB53" s="216" t="n">
        <v>5</v>
      </c>
      <c r="AC53" s="215" t="n">
        <v>5.8</v>
      </c>
      <c r="AE53" s="182"/>
      <c r="AF53" s="192"/>
      <c r="AG53" s="192"/>
      <c r="AH53" s="194" t="n">
        <v>3.5</v>
      </c>
      <c r="AI53" s="215" t="n">
        <v>5</v>
      </c>
      <c r="AK53" s="182"/>
      <c r="AL53" s="192"/>
      <c r="AM53" s="192"/>
      <c r="AN53" s="194" t="n">
        <f aca="false">0.5*$AL$39</f>
        <v>0.03</v>
      </c>
    </row>
    <row r="54" customFormat="false" ht="15.75" hidden="false" customHeight="false" outlineLevel="0" collapsed="false">
      <c r="C54" s="111" t="n">
        <v>2020</v>
      </c>
      <c r="D54" s="182"/>
      <c r="E54" s="192"/>
      <c r="F54" s="192"/>
      <c r="G54" s="194" t="n">
        <v>0.25</v>
      </c>
      <c r="J54" s="182"/>
      <c r="K54" s="192"/>
      <c r="L54" s="192"/>
      <c r="M54" s="194" t="n">
        <v>0.325</v>
      </c>
      <c r="P54" s="191"/>
      <c r="Q54" s="192"/>
      <c r="R54" s="192"/>
      <c r="S54" s="194" t="n">
        <v>0.875</v>
      </c>
      <c r="T54" s="217" t="n">
        <v>0.8</v>
      </c>
      <c r="U54" s="218" t="n">
        <v>1.2</v>
      </c>
      <c r="X54" s="182"/>
      <c r="Y54" s="192"/>
      <c r="Z54" s="192"/>
      <c r="AA54" s="194" t="n">
        <v>7</v>
      </c>
      <c r="AB54" s="219" t="n">
        <v>4.8</v>
      </c>
      <c r="AC54" s="218" t="n">
        <v>5.5</v>
      </c>
      <c r="AE54" s="182"/>
      <c r="AF54" s="192"/>
      <c r="AG54" s="192"/>
      <c r="AH54" s="194" t="n">
        <v>3.5</v>
      </c>
      <c r="AI54" s="218" t="n">
        <v>5</v>
      </c>
      <c r="AK54" s="182"/>
      <c r="AL54" s="192"/>
      <c r="AM54" s="192"/>
      <c r="AN54" s="194" t="n">
        <f aca="false">0.5*$AL$39</f>
        <v>0.03</v>
      </c>
    </row>
    <row r="55" customFormat="false" ht="15.75" hidden="false" customHeight="false" outlineLevel="0" collapsed="false">
      <c r="D55" s="205"/>
      <c r="E55" s="205"/>
      <c r="F55" s="205"/>
      <c r="G55" s="205"/>
      <c r="H55" s="205"/>
      <c r="I55" s="205" t="s">
        <v>75</v>
      </c>
      <c r="J55" s="205"/>
      <c r="K55" s="205"/>
      <c r="L55" s="205"/>
      <c r="M55" s="205"/>
      <c r="N55" s="205"/>
      <c r="O55" s="205" t="s">
        <v>75</v>
      </c>
      <c r="P55" s="205"/>
      <c r="Q55" s="205"/>
      <c r="R55" s="205"/>
      <c r="S55" s="205"/>
      <c r="T55" s="205"/>
      <c r="U55" s="205"/>
      <c r="V55" s="205" t="s">
        <v>75</v>
      </c>
      <c r="X55" s="205"/>
      <c r="Y55" s="205"/>
      <c r="Z55" s="205"/>
      <c r="AA55" s="205"/>
      <c r="AB55" s="205"/>
      <c r="AC55" s="205"/>
      <c r="AD55" s="205" t="s">
        <v>75</v>
      </c>
      <c r="AE55" s="205"/>
      <c r="AF55" s="205"/>
      <c r="AG55" s="205"/>
      <c r="AH55" s="205"/>
      <c r="AI55" s="205"/>
      <c r="AJ55" s="205" t="s">
        <v>75</v>
      </c>
      <c r="AK55" s="205"/>
      <c r="AL55" s="205"/>
      <c r="AM55" s="205" t="s">
        <v>75</v>
      </c>
      <c r="AN55" s="205"/>
      <c r="AO55" s="205" t="s">
        <v>75</v>
      </c>
      <c r="AP55" s="205" t="s">
        <v>75</v>
      </c>
    </row>
  </sheetData>
  <mergeCells count="12">
    <mergeCell ref="K2:V3"/>
    <mergeCell ref="D5:V5"/>
    <mergeCell ref="X5:AP5"/>
    <mergeCell ref="AR5:AW5"/>
    <mergeCell ref="AY5:BD5"/>
    <mergeCell ref="AZ9:AZ18"/>
    <mergeCell ref="BA11:BA17"/>
    <mergeCell ref="BB15:BB18"/>
    <mergeCell ref="BA18:BA28"/>
    <mergeCell ref="BB19:BB28"/>
    <mergeCell ref="D31:V31"/>
    <mergeCell ref="X31:AP31"/>
  </mergeCell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A2:M50"/>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J7" activeCellId="0" sqref="J7"/>
    </sheetView>
  </sheetViews>
  <sheetFormatPr defaultColWidth="8.5" defaultRowHeight="15.75" zeroHeight="false" outlineLevelRow="0" outlineLevelCol="0"/>
  <cols>
    <col collapsed="false" customWidth="true" hidden="false" outlineLevel="0" max="2" min="2" style="0" width="19.38"/>
    <col collapsed="false" customWidth="true" hidden="false" outlineLevel="0" max="8" min="8" style="0" width="15.26"/>
  </cols>
  <sheetData>
    <row r="2" customFormat="false" ht="15.75" hidden="false" customHeight="false" outlineLevel="0" collapsed="false">
      <c r="B2" s="92" t="s">
        <v>508</v>
      </c>
      <c r="C2" s="220" t="s">
        <v>646</v>
      </c>
    </row>
    <row r="3" customFormat="false" ht="15.75" hidden="false" customHeight="false" outlineLevel="0" collapsed="false">
      <c r="C3" s="220" t="s">
        <v>647</v>
      </c>
    </row>
    <row r="4" customFormat="false" ht="15.75" hidden="false" customHeight="false" outlineLevel="0" collapsed="false">
      <c r="C4" s="0" t="s">
        <v>648</v>
      </c>
    </row>
    <row r="5" customFormat="false" ht="15.75" hidden="false" customHeight="false" outlineLevel="0" collapsed="false">
      <c r="B5" s="108" t="s">
        <v>649</v>
      </c>
      <c r="C5" s="108" t="s">
        <v>650</v>
      </c>
    </row>
    <row r="6" customFormat="false" ht="15.75" hidden="false" customHeight="true" outlineLevel="0" collapsed="false">
      <c r="B6" s="221" t="s">
        <v>651</v>
      </c>
      <c r="C6" s="221"/>
      <c r="D6" s="221"/>
      <c r="E6" s="221"/>
      <c r="F6" s="221"/>
    </row>
    <row r="7" customFormat="false" ht="15.75" hidden="false" customHeight="false" outlineLevel="0" collapsed="false">
      <c r="B7" s="222"/>
      <c r="C7" s="222" t="s">
        <v>652</v>
      </c>
      <c r="D7" s="222" t="s">
        <v>653</v>
      </c>
      <c r="E7" s="222" t="s">
        <v>654</v>
      </c>
      <c r="F7" s="222" t="s">
        <v>655</v>
      </c>
      <c r="G7" s="222"/>
      <c r="H7" s="222"/>
    </row>
    <row r="8" customFormat="false" ht="21" hidden="false" customHeight="false" outlineLevel="0" collapsed="false">
      <c r="A8" s="77"/>
      <c r="B8" s="223" t="n">
        <v>2000</v>
      </c>
      <c r="C8" s="224" t="n">
        <v>1274</v>
      </c>
      <c r="D8" s="224" t="n">
        <v>1373</v>
      </c>
      <c r="E8" s="224" t="n">
        <v>1457</v>
      </c>
      <c r="F8" s="224" t="n">
        <v>1448</v>
      </c>
      <c r="G8" s="222"/>
      <c r="H8" s="222"/>
    </row>
    <row r="9" customFormat="false" ht="21" hidden="false" customHeight="false" outlineLevel="0" collapsed="false">
      <c r="B9" s="223" t="n">
        <v>2001</v>
      </c>
      <c r="C9" s="224" t="n">
        <v>1250</v>
      </c>
      <c r="D9" s="224" t="n">
        <v>988</v>
      </c>
      <c r="E9" s="224" t="n">
        <v>824</v>
      </c>
      <c r="F9" s="224" t="n">
        <v>878</v>
      </c>
      <c r="G9" s="222"/>
      <c r="H9" s="222"/>
    </row>
    <row r="10" customFormat="false" ht="21" hidden="false" customHeight="false" outlineLevel="0" collapsed="false">
      <c r="B10" s="223" t="n">
        <v>2002</v>
      </c>
      <c r="C10" s="224" t="n">
        <v>1011</v>
      </c>
      <c r="D10" s="224" t="n">
        <v>1273</v>
      </c>
      <c r="E10" s="224" t="n">
        <v>1263</v>
      </c>
      <c r="F10" s="224" t="n">
        <v>1134</v>
      </c>
      <c r="G10" s="222"/>
      <c r="H10" s="222"/>
    </row>
    <row r="11" customFormat="false" ht="21" hidden="false" customHeight="false" outlineLevel="0" collapsed="false">
      <c r="B11" s="223" t="n">
        <v>2003</v>
      </c>
      <c r="C11" s="224" t="n">
        <v>1175</v>
      </c>
      <c r="D11" s="224" t="n">
        <v>1273</v>
      </c>
      <c r="E11" s="224" t="n">
        <v>1307</v>
      </c>
      <c r="F11" s="224" t="n">
        <v>1392</v>
      </c>
      <c r="G11" s="222"/>
      <c r="H11" s="222"/>
    </row>
    <row r="12" customFormat="false" ht="21" hidden="false" customHeight="false" outlineLevel="0" collapsed="false">
      <c r="B12" s="223" t="n">
        <v>2004</v>
      </c>
      <c r="C12" s="224" t="n">
        <v>1529</v>
      </c>
      <c r="D12" s="224" t="n">
        <v>1619</v>
      </c>
      <c r="E12" s="224" t="n">
        <v>1629</v>
      </c>
      <c r="F12" s="224" t="n">
        <v>1486</v>
      </c>
      <c r="G12" s="222"/>
      <c r="H12" s="222"/>
    </row>
    <row r="13" customFormat="false" ht="21" hidden="false" customHeight="false" outlineLevel="0" collapsed="false">
      <c r="B13" s="223" t="n">
        <v>2005</v>
      </c>
      <c r="C13" s="224" t="n">
        <v>1465</v>
      </c>
      <c r="D13" s="224" t="n">
        <v>1606</v>
      </c>
      <c r="E13" s="224" t="n">
        <v>1748</v>
      </c>
      <c r="F13" s="224" t="n">
        <v>1826</v>
      </c>
      <c r="G13" s="222"/>
      <c r="H13" s="222"/>
    </row>
    <row r="14" customFormat="false" ht="21" hidden="false" customHeight="false" outlineLevel="0" collapsed="false">
      <c r="B14" s="223" t="n">
        <v>2006</v>
      </c>
      <c r="C14" s="224" t="n">
        <v>1884</v>
      </c>
      <c r="D14" s="224" t="n">
        <v>1966</v>
      </c>
      <c r="E14" s="224" t="n">
        <v>2074</v>
      </c>
      <c r="F14" s="224" t="n">
        <v>2070</v>
      </c>
      <c r="G14" s="222"/>
      <c r="H14" s="222"/>
    </row>
    <row r="15" customFormat="false" ht="21" hidden="false" customHeight="false" outlineLevel="0" collapsed="false">
      <c r="B15" s="223" t="n">
        <v>2007</v>
      </c>
      <c r="C15" s="224" t="n">
        <v>2100</v>
      </c>
      <c r="D15" s="224" t="n">
        <v>2201</v>
      </c>
      <c r="E15" s="224" t="n">
        <v>2174</v>
      </c>
      <c r="F15" s="224" t="n">
        <v>2185</v>
      </c>
      <c r="G15" s="222"/>
      <c r="H15" s="222"/>
    </row>
    <row r="16" customFormat="false" ht="21" hidden="false" customHeight="false" outlineLevel="0" collapsed="false">
      <c r="B16" s="223" t="n">
        <v>2008</v>
      </c>
      <c r="C16" s="224" t="n">
        <v>2163</v>
      </c>
      <c r="D16" s="224" t="n">
        <v>2303</v>
      </c>
      <c r="E16" s="224" t="n">
        <v>2243</v>
      </c>
      <c r="F16" s="224" t="n">
        <v>1428</v>
      </c>
      <c r="G16" s="222"/>
      <c r="H16" s="222"/>
    </row>
    <row r="17" customFormat="false" ht="21" hidden="false" customHeight="false" outlineLevel="0" collapsed="false">
      <c r="B17" s="223" t="n">
        <v>2009</v>
      </c>
      <c r="C17" s="224" t="n">
        <v>940</v>
      </c>
      <c r="D17" s="224" t="n">
        <v>1686</v>
      </c>
      <c r="E17" s="224" t="n">
        <v>1972</v>
      </c>
      <c r="F17" s="224" t="n">
        <v>2109</v>
      </c>
      <c r="G17" s="222"/>
      <c r="H17" s="222"/>
    </row>
    <row r="18" customFormat="false" ht="21" hidden="false" customHeight="false" outlineLevel="0" collapsed="false">
      <c r="B18" s="223" t="n">
        <v>2010</v>
      </c>
      <c r="C18" s="224" t="n">
        <v>2214</v>
      </c>
      <c r="D18" s="224" t="n">
        <v>2365</v>
      </c>
      <c r="E18" s="224" t="n">
        <v>2489</v>
      </c>
      <c r="F18" s="224" t="n">
        <v>2302</v>
      </c>
      <c r="G18" s="222"/>
      <c r="H18" s="222"/>
    </row>
    <row r="19" customFormat="false" ht="21" hidden="false" customHeight="false" outlineLevel="0" collapsed="false">
      <c r="B19" s="223" t="n">
        <v>2011</v>
      </c>
      <c r="C19" s="224" t="n">
        <v>2287</v>
      </c>
      <c r="D19" s="224" t="n">
        <v>2393</v>
      </c>
      <c r="E19" s="224" t="n">
        <v>2354</v>
      </c>
      <c r="F19" s="224" t="n">
        <v>2009</v>
      </c>
      <c r="G19" s="222"/>
      <c r="H19" s="222"/>
    </row>
    <row r="20" customFormat="false" ht="21" hidden="false" customHeight="false" outlineLevel="0" collapsed="false">
      <c r="B20" s="223" t="n">
        <v>2012</v>
      </c>
      <c r="C20" s="224" t="n">
        <v>2033</v>
      </c>
      <c r="D20" s="224" t="n">
        <v>2447</v>
      </c>
      <c r="E20" s="224" t="n">
        <v>2389</v>
      </c>
      <c r="F20" s="224" t="n">
        <v>2162</v>
      </c>
      <c r="G20" s="222"/>
      <c r="H20" s="222"/>
    </row>
    <row r="21" customFormat="false" ht="21" hidden="false" customHeight="false" outlineLevel="0" collapsed="false">
      <c r="B21" s="223" t="n">
        <v>2013</v>
      </c>
      <c r="C21" s="224" t="n">
        <v>2128</v>
      </c>
      <c r="D21" s="224" t="n">
        <v>2390</v>
      </c>
      <c r="E21" s="224" t="n">
        <v>2341</v>
      </c>
      <c r="F21" s="224" t="n">
        <v>2208</v>
      </c>
      <c r="G21" s="222"/>
      <c r="H21" s="222"/>
    </row>
    <row r="22" customFormat="false" ht="21" hidden="false" customHeight="false" outlineLevel="0" collapsed="false">
      <c r="B22" s="223" t="n">
        <v>2014</v>
      </c>
      <c r="C22" s="224" t="n">
        <v>2363</v>
      </c>
      <c r="D22" s="224" t="n">
        <v>2587</v>
      </c>
      <c r="E22" s="224" t="n">
        <v>2597</v>
      </c>
      <c r="F22" s="224" t="n">
        <v>2550</v>
      </c>
      <c r="G22" s="222"/>
      <c r="H22" s="222"/>
    </row>
    <row r="23" customFormat="false" ht="21" hidden="false" customHeight="false" outlineLevel="0" collapsed="false">
      <c r="B23" s="223" t="n">
        <v>2015</v>
      </c>
      <c r="C23" s="224" t="n">
        <v>2637</v>
      </c>
      <c r="D23" s="224" t="n">
        <v>2702</v>
      </c>
      <c r="E23" s="224" t="n">
        <v>2591</v>
      </c>
      <c r="F23" s="224" t="n">
        <v>2504</v>
      </c>
      <c r="G23" s="222"/>
    </row>
    <row r="24" customFormat="false" ht="21" hidden="false" customHeight="false" outlineLevel="0" collapsed="false">
      <c r="B24" s="223" t="n">
        <v>2016</v>
      </c>
      <c r="C24" s="224" t="n">
        <v>2538</v>
      </c>
      <c r="D24" s="224" t="n">
        <v>2706</v>
      </c>
      <c r="E24" s="224" t="n">
        <v>2730</v>
      </c>
      <c r="F24" s="224" t="n">
        <v>2764</v>
      </c>
      <c r="G24" s="222"/>
    </row>
    <row r="25" customFormat="false" ht="21" hidden="false" customHeight="false" outlineLevel="0" collapsed="false">
      <c r="B25" s="223" t="n">
        <v>2017</v>
      </c>
      <c r="C25" s="224" t="n">
        <v>2858</v>
      </c>
      <c r="D25" s="224" t="n">
        <v>2978</v>
      </c>
      <c r="E25" s="224" t="n">
        <v>2997</v>
      </c>
      <c r="F25" s="224" t="n">
        <v>2977</v>
      </c>
      <c r="G25" s="222"/>
    </row>
    <row r="26" customFormat="false" ht="21" hidden="false" customHeight="false" outlineLevel="0" collapsed="false">
      <c r="B26" s="223" t="n">
        <v>2018</v>
      </c>
      <c r="C26" s="224" t="n">
        <v>3084</v>
      </c>
      <c r="D26" s="224" t="n">
        <v>3160</v>
      </c>
      <c r="E26" s="224" t="n">
        <v>3255</v>
      </c>
      <c r="F26" s="224" t="n">
        <v>3234</v>
      </c>
      <c r="G26" s="222"/>
      <c r="M26" s="222"/>
    </row>
    <row r="27" customFormat="false" ht="21" hidden="false" customHeight="false" outlineLevel="0" collapsed="false">
      <c r="B27" s="223" t="n">
        <v>2019</v>
      </c>
      <c r="C27" s="224" t="n">
        <v>3051</v>
      </c>
      <c r="D27" s="224" t="n">
        <v>2983</v>
      </c>
      <c r="E27" s="224" t="n">
        <v>2932</v>
      </c>
      <c r="F27" s="224" t="n">
        <v>2844</v>
      </c>
      <c r="G27" s="222"/>
      <c r="M27" s="222"/>
    </row>
    <row r="28" customFormat="false" ht="21" hidden="false" customHeight="false" outlineLevel="0" collapsed="false">
      <c r="B28" s="223" t="n">
        <v>2020</v>
      </c>
      <c r="C28" s="224" t="n">
        <v>2920</v>
      </c>
      <c r="D28" s="224" t="n">
        <v>3152</v>
      </c>
      <c r="E28" s="224" t="n">
        <v>3135</v>
      </c>
      <c r="F28" s="225" t="n">
        <v>3200</v>
      </c>
      <c r="G28" s="222"/>
      <c r="M28" s="222"/>
    </row>
    <row r="29" customFormat="false" ht="15.75" hidden="false" customHeight="false" outlineLevel="0" collapsed="false">
      <c r="B29" s="226" t="s">
        <v>656</v>
      </c>
      <c r="C29" s="226"/>
      <c r="D29" s="226"/>
      <c r="E29" s="226"/>
      <c r="F29" s="226"/>
      <c r="G29" s="222"/>
      <c r="H29" s="227" t="s">
        <v>657</v>
      </c>
      <c r="M29" s="222"/>
    </row>
    <row r="30" customFormat="false" ht="21" hidden="false" customHeight="false" outlineLevel="0" collapsed="false">
      <c r="A30" s="77"/>
      <c r="B30" s="223" t="n">
        <v>2000</v>
      </c>
      <c r="C30" s="222" t="n">
        <f aca="false">C8*Parameters!$C$13</f>
        <v>8219.3384</v>
      </c>
      <c r="D30" s="222" t="n">
        <f aca="false">D8*Parameters!$C$13</f>
        <v>8858.0468</v>
      </c>
      <c r="E30" s="222" t="n">
        <f aca="false">E8*Parameters!$C$13</f>
        <v>9399.9812</v>
      </c>
      <c r="F30" s="222" t="n">
        <f aca="false">F8*Parameters!$C$13</f>
        <v>9341.9168</v>
      </c>
      <c r="G30" s="222"/>
      <c r="H30" s="222" t="n">
        <f aca="false">SUM(C30:F30)</f>
        <v>35819.2832</v>
      </c>
      <c r="M30" s="222"/>
    </row>
    <row r="31" customFormat="false" ht="21" hidden="false" customHeight="false" outlineLevel="0" collapsed="false">
      <c r="B31" s="223" t="n">
        <v>2001</v>
      </c>
      <c r="C31" s="222" t="n">
        <f aca="false">C9*Parameters!$C$13</f>
        <v>8064.5</v>
      </c>
      <c r="D31" s="222" t="n">
        <f aca="false">D9*Parameters!$C$13</f>
        <v>6374.1808</v>
      </c>
      <c r="E31" s="222" t="n">
        <f aca="false">E9*Parameters!$C$13</f>
        <v>5316.1184</v>
      </c>
      <c r="F31" s="222" t="n">
        <f aca="false">F9*Parameters!$C$13</f>
        <v>5664.5048</v>
      </c>
      <c r="G31" s="222"/>
      <c r="H31" s="222" t="n">
        <f aca="false">SUM(C31:F31)</f>
        <v>25419.304</v>
      </c>
      <c r="M31" s="222"/>
    </row>
    <row r="32" customFormat="false" ht="21" hidden="false" customHeight="false" outlineLevel="0" collapsed="false">
      <c r="B32" s="223" t="n">
        <v>2002</v>
      </c>
      <c r="C32" s="222" t="n">
        <f aca="false">C10*Parameters!$C$13</f>
        <v>6522.5676</v>
      </c>
      <c r="D32" s="222" t="n">
        <f aca="false">D10*Parameters!$C$13</f>
        <v>8212.8868</v>
      </c>
      <c r="E32" s="222" t="n">
        <f aca="false">E10*Parameters!$C$13</f>
        <v>8148.3708</v>
      </c>
      <c r="F32" s="222" t="n">
        <f aca="false">F10*Parameters!$C$13</f>
        <v>7316.1144</v>
      </c>
      <c r="G32" s="222"/>
      <c r="H32" s="222" t="n">
        <f aca="false">SUM(C32:F32)</f>
        <v>30199.9396</v>
      </c>
    </row>
    <row r="33" customFormat="false" ht="21" hidden="false" customHeight="false" outlineLevel="0" collapsed="false">
      <c r="B33" s="223" t="n">
        <v>2003</v>
      </c>
      <c r="C33" s="222" t="n">
        <f aca="false">C11*Parameters!$C$13</f>
        <v>7580.63</v>
      </c>
      <c r="D33" s="222" t="n">
        <f aca="false">D11*Parameters!$C$13</f>
        <v>8212.8868</v>
      </c>
      <c r="E33" s="222" t="n">
        <f aca="false">E11*Parameters!$C$13</f>
        <v>8432.2412</v>
      </c>
      <c r="F33" s="222" t="n">
        <f aca="false">F11*Parameters!$C$13</f>
        <v>8980.6272</v>
      </c>
      <c r="G33" s="222"/>
      <c r="H33" s="222" t="n">
        <f aca="false">SUM(C33:F33)</f>
        <v>33206.3852</v>
      </c>
    </row>
    <row r="34" customFormat="false" ht="21" hidden="false" customHeight="false" outlineLevel="0" collapsed="false">
      <c r="B34" s="223" t="n">
        <v>2004</v>
      </c>
      <c r="C34" s="222" t="n">
        <f aca="false">C12*Parameters!$C$13</f>
        <v>9864.4964</v>
      </c>
      <c r="D34" s="222" t="n">
        <f aca="false">D12*Parameters!$C$13</f>
        <v>10445.1404</v>
      </c>
      <c r="E34" s="222" t="n">
        <f aca="false">E12*Parameters!$C$13</f>
        <v>10509.6564</v>
      </c>
      <c r="F34" s="222" t="n">
        <f aca="false">F12*Parameters!$C$13</f>
        <v>9587.0776</v>
      </c>
      <c r="G34" s="222"/>
      <c r="H34" s="222" t="n">
        <f aca="false">SUM(C34:F34)</f>
        <v>40406.3708</v>
      </c>
    </row>
    <row r="35" customFormat="false" ht="21" hidden="false" customHeight="false" outlineLevel="0" collapsed="false">
      <c r="B35" s="223" t="n">
        <v>2005</v>
      </c>
      <c r="C35" s="222" t="n">
        <f aca="false">C13*Parameters!$C$13</f>
        <v>9451.594</v>
      </c>
      <c r="D35" s="222" t="n">
        <f aca="false">D13*Parameters!$C$13</f>
        <v>10361.2696</v>
      </c>
      <c r="E35" s="222" t="n">
        <f aca="false">E13*Parameters!$C$13</f>
        <v>11277.3968</v>
      </c>
      <c r="F35" s="222" t="n">
        <f aca="false">F13*Parameters!$C$13</f>
        <v>11780.6216</v>
      </c>
      <c r="G35" s="222"/>
      <c r="H35" s="222" t="n">
        <f aca="false">SUM(C35:F35)</f>
        <v>42870.882</v>
      </c>
    </row>
    <row r="36" customFormat="false" ht="21" hidden="false" customHeight="false" outlineLevel="0" collapsed="false">
      <c r="B36" s="223" t="n">
        <v>2006</v>
      </c>
      <c r="C36" s="222" t="n">
        <f aca="false">C14*Parameters!$C$13</f>
        <v>12154.8144</v>
      </c>
      <c r="D36" s="222" t="n">
        <f aca="false">D14*Parameters!$C$13</f>
        <v>12683.8456</v>
      </c>
      <c r="E36" s="222" t="n">
        <f aca="false">E14*Parameters!$C$13</f>
        <v>13380.6184</v>
      </c>
      <c r="F36" s="222" t="n">
        <f aca="false">F14*Parameters!$C$13</f>
        <v>13354.812</v>
      </c>
      <c r="G36" s="222"/>
      <c r="H36" s="222" t="n">
        <f aca="false">SUM(C36:F36)</f>
        <v>51574.0904</v>
      </c>
    </row>
    <row r="37" customFormat="false" ht="21" hidden="false" customHeight="false" outlineLevel="0" collapsed="false">
      <c r="B37" s="223" t="n">
        <v>2007</v>
      </c>
      <c r="C37" s="222" t="n">
        <f aca="false">C15*Parameters!$C$13</f>
        <v>13548.36</v>
      </c>
      <c r="D37" s="222" t="n">
        <f aca="false">D15*Parameters!$C$13</f>
        <v>14199.9716</v>
      </c>
      <c r="E37" s="222" t="n">
        <f aca="false">E15*Parameters!$C$13</f>
        <v>14025.7784</v>
      </c>
      <c r="F37" s="222" t="n">
        <f aca="false">F15*Parameters!$C$13</f>
        <v>14096.746</v>
      </c>
      <c r="G37" s="222"/>
      <c r="H37" s="222" t="n">
        <f aca="false">SUM(C37:F37)</f>
        <v>55870.856</v>
      </c>
    </row>
    <row r="38" customFormat="false" ht="21" hidden="false" customHeight="false" outlineLevel="0" collapsed="false">
      <c r="B38" s="223" t="n">
        <v>2008</v>
      </c>
      <c r="C38" s="222" t="n">
        <f aca="false">C16*Parameters!$C$13</f>
        <v>13954.8108</v>
      </c>
      <c r="D38" s="222" t="n">
        <f aca="false">D16*Parameters!$C$13</f>
        <v>14858.0348</v>
      </c>
      <c r="E38" s="222" t="n">
        <f aca="false">E16*Parameters!$C$13</f>
        <v>14470.9388</v>
      </c>
      <c r="F38" s="222" t="n">
        <f aca="false">F16*Parameters!$C$13</f>
        <v>9212.8848</v>
      </c>
      <c r="G38" s="222"/>
      <c r="H38" s="222" t="n">
        <f aca="false">SUM(C38:F38)</f>
        <v>52496.6692</v>
      </c>
    </row>
    <row r="39" customFormat="false" ht="21" hidden="false" customHeight="false" outlineLevel="0" collapsed="false">
      <c r="B39" s="223" t="n">
        <v>2009</v>
      </c>
      <c r="C39" s="222" t="n">
        <f aca="false">C17*Parameters!$C$13</f>
        <v>6064.504</v>
      </c>
      <c r="D39" s="222" t="n">
        <f aca="false">D17*Parameters!$C$13</f>
        <v>10877.3976</v>
      </c>
      <c r="E39" s="222" t="n">
        <f aca="false">E17*Parameters!$C$13</f>
        <v>12722.5552</v>
      </c>
      <c r="F39" s="222" t="n">
        <f aca="false">F17*Parameters!$C$13</f>
        <v>13606.4244</v>
      </c>
      <c r="G39" s="222"/>
      <c r="H39" s="222" t="n">
        <f aca="false">SUM(C39:F39)</f>
        <v>43270.8812</v>
      </c>
    </row>
    <row r="40" customFormat="false" ht="21" hidden="false" customHeight="false" outlineLevel="0" collapsed="false">
      <c r="B40" s="223" t="n">
        <v>2010</v>
      </c>
      <c r="C40" s="222" t="n">
        <f aca="false">C18*Parameters!$C$13</f>
        <v>14283.8424</v>
      </c>
      <c r="D40" s="222" t="n">
        <f aca="false">D18*Parameters!$C$13</f>
        <v>15258.034</v>
      </c>
      <c r="E40" s="222" t="n">
        <f aca="false">E18*Parameters!$C$13</f>
        <v>16058.0324</v>
      </c>
      <c r="F40" s="222" t="n">
        <f aca="false">F18*Parameters!$C$13</f>
        <v>14851.5832</v>
      </c>
      <c r="G40" s="222"/>
      <c r="H40" s="222" t="n">
        <f aca="false">SUM(C40:F40)</f>
        <v>60451.492</v>
      </c>
    </row>
    <row r="41" customFormat="false" ht="21" hidden="false" customHeight="false" outlineLevel="0" collapsed="false">
      <c r="B41" s="223" t="n">
        <v>2011</v>
      </c>
      <c r="C41" s="222" t="n">
        <f aca="false">C19*Parameters!$C$13</f>
        <v>14754.8092</v>
      </c>
      <c r="D41" s="222" t="n">
        <f aca="false">D19*Parameters!$C$13</f>
        <v>15438.6788</v>
      </c>
      <c r="E41" s="222" t="n">
        <f aca="false">E19*Parameters!$C$13</f>
        <v>15187.0664</v>
      </c>
      <c r="F41" s="222" t="n">
        <f aca="false">F19*Parameters!$C$13</f>
        <v>12961.2644</v>
      </c>
      <c r="G41" s="222"/>
      <c r="H41" s="222" t="n">
        <f aca="false">SUM(C41:F41)</f>
        <v>58341.8188</v>
      </c>
    </row>
    <row r="42" customFormat="false" ht="21" hidden="false" customHeight="false" outlineLevel="0" collapsed="false">
      <c r="B42" s="223" t="n">
        <v>2012</v>
      </c>
      <c r="C42" s="222" t="n">
        <f aca="false">C20*Parameters!$C$13</f>
        <v>13116.1028</v>
      </c>
      <c r="D42" s="222" t="n">
        <f aca="false">D20*Parameters!$C$13</f>
        <v>15787.0652</v>
      </c>
      <c r="E42" s="222" t="n">
        <f aca="false">E20*Parameters!$C$13</f>
        <v>15412.8724</v>
      </c>
      <c r="F42" s="222" t="n">
        <f aca="false">F20*Parameters!$C$13</f>
        <v>13948.3592</v>
      </c>
      <c r="G42" s="222"/>
      <c r="H42" s="222" t="n">
        <f aca="false">SUM(C42:F42)</f>
        <v>58264.3996</v>
      </c>
    </row>
    <row r="43" customFormat="false" ht="21" hidden="false" customHeight="false" outlineLevel="0" collapsed="false">
      <c r="B43" s="223" t="n">
        <v>2013</v>
      </c>
      <c r="C43" s="222" t="n">
        <f aca="false">C21*Parameters!$C$13</f>
        <v>13729.0048</v>
      </c>
      <c r="D43" s="222" t="n">
        <f aca="false">D21*Parameters!$C$13</f>
        <v>15419.324</v>
      </c>
      <c r="E43" s="222" t="n">
        <f aca="false">E21*Parameters!$C$13</f>
        <v>15103.1956</v>
      </c>
      <c r="F43" s="222" t="n">
        <f aca="false">F21*Parameters!$C$13</f>
        <v>14245.1328</v>
      </c>
      <c r="G43" s="222"/>
      <c r="H43" s="222" t="n">
        <f aca="false">SUM(C43:F43)</f>
        <v>58496.6572</v>
      </c>
    </row>
    <row r="44" customFormat="false" ht="21" hidden="false" customHeight="false" outlineLevel="0" collapsed="false">
      <c r="B44" s="223" t="n">
        <v>2014</v>
      </c>
      <c r="C44" s="222" t="n">
        <f aca="false">C22*Parameters!$C$13</f>
        <v>15245.1308</v>
      </c>
      <c r="D44" s="222" t="n">
        <f aca="false">D22*Parameters!$C$13</f>
        <v>16690.2892</v>
      </c>
      <c r="E44" s="222" t="n">
        <f aca="false">E22*Parameters!$C$13</f>
        <v>16754.8052</v>
      </c>
      <c r="F44" s="222" t="n">
        <f aca="false">F22*Parameters!$C$13</f>
        <v>16451.58</v>
      </c>
      <c r="G44" s="222"/>
      <c r="H44" s="222" t="n">
        <f aca="false">SUM(C44:F44)</f>
        <v>65141.8052</v>
      </c>
    </row>
    <row r="45" customFormat="false" ht="21" hidden="false" customHeight="false" outlineLevel="0" collapsed="false">
      <c r="B45" s="223" t="n">
        <v>2015</v>
      </c>
      <c r="C45" s="222" t="n">
        <f aca="false">C23*Parameters!$C$13</f>
        <v>17012.8692</v>
      </c>
      <c r="D45" s="222" t="n">
        <f aca="false">D23*Parameters!$C$13</f>
        <v>17432.2232</v>
      </c>
      <c r="E45" s="222" t="n">
        <f aca="false">E23*Parameters!$C$13</f>
        <v>16716.0956</v>
      </c>
      <c r="F45" s="222" t="n">
        <f aca="false">F23*Parameters!$C$13</f>
        <v>16154.8064</v>
      </c>
      <c r="G45" s="222"/>
      <c r="H45" s="222" t="n">
        <f aca="false">SUM(C45:F45)</f>
        <v>67315.9944</v>
      </c>
    </row>
    <row r="46" customFormat="false" ht="21" hidden="false" customHeight="false" outlineLevel="0" collapsed="false">
      <c r="B46" s="223" t="n">
        <v>2016</v>
      </c>
      <c r="C46" s="222" t="n">
        <f aca="false">C24*Parameters!$C$13</f>
        <v>16374.1608</v>
      </c>
      <c r="D46" s="222" t="n">
        <f aca="false">D24*Parameters!$C$13</f>
        <v>17458.0296</v>
      </c>
      <c r="E46" s="222" t="n">
        <f aca="false">E24*Parameters!$C$13</f>
        <v>17612.868</v>
      </c>
      <c r="F46" s="222" t="n">
        <f aca="false">F24*Parameters!$C$13</f>
        <v>17832.2224</v>
      </c>
      <c r="G46" s="222"/>
      <c r="H46" s="222" t="n">
        <f aca="false">SUM(C46:F46)</f>
        <v>69277.2808</v>
      </c>
    </row>
    <row r="47" customFormat="false" ht="21" hidden="false" customHeight="false" outlineLevel="0" collapsed="false">
      <c r="B47" s="223" t="n">
        <v>2017</v>
      </c>
      <c r="C47" s="222" t="n">
        <f aca="false">C25*Parameters!$C$13</f>
        <v>18438.6728</v>
      </c>
      <c r="D47" s="222" t="n">
        <f aca="false">D25*Parameters!$C$13</f>
        <v>19212.8648</v>
      </c>
      <c r="E47" s="222" t="n">
        <f aca="false">E25*Parameters!$C$13</f>
        <v>19335.4452</v>
      </c>
      <c r="F47" s="222" t="n">
        <f aca="false">F25*Parameters!$C$13</f>
        <v>19206.4132</v>
      </c>
      <c r="G47" s="222"/>
      <c r="H47" s="222" t="n">
        <f aca="false">SUM(C47:F47)</f>
        <v>76193.396</v>
      </c>
    </row>
    <row r="48" customFormat="false" ht="21" hidden="false" customHeight="false" outlineLevel="0" collapsed="false">
      <c r="B48" s="223" t="n">
        <v>2018</v>
      </c>
      <c r="C48" s="222" t="n">
        <f aca="false">C26*Parameters!$C$13</f>
        <v>19896.7344</v>
      </c>
      <c r="D48" s="222" t="n">
        <f aca="false">D26*Parameters!$C$13</f>
        <v>20387.056</v>
      </c>
      <c r="E48" s="222" t="n">
        <f aca="false">E26*Parameters!$C$13</f>
        <v>20999.958</v>
      </c>
      <c r="F48" s="222" t="n">
        <f aca="false">F26*Parameters!$C$13</f>
        <v>20864.4744</v>
      </c>
      <c r="G48" s="222"/>
      <c r="H48" s="222" t="n">
        <f aca="false">SUM(C48:F48)</f>
        <v>82148.2228</v>
      </c>
    </row>
    <row r="49" customFormat="false" ht="21" hidden="false" customHeight="false" outlineLevel="0" collapsed="false">
      <c r="B49" s="223" t="n">
        <v>2019</v>
      </c>
      <c r="C49" s="222" t="n">
        <f aca="false">C27*Parameters!$C$13</f>
        <v>19683.8316</v>
      </c>
      <c r="D49" s="222" t="n">
        <f aca="false">D27*Parameters!$C$13</f>
        <v>19245.1228</v>
      </c>
      <c r="E49" s="222" t="n">
        <f aca="false">E27*Parameters!$C$13</f>
        <v>18916.0912</v>
      </c>
      <c r="F49" s="222" t="n">
        <f aca="false">F27*Parameters!$C$13</f>
        <v>18348.3504</v>
      </c>
      <c r="G49" s="222"/>
      <c r="H49" s="222" t="n">
        <f aca="false">SUM(C49:F49)</f>
        <v>76193.396</v>
      </c>
    </row>
    <row r="50" customFormat="false" ht="21" hidden="false" customHeight="false" outlineLevel="0" collapsed="false">
      <c r="B50" s="223" t="n">
        <v>2020</v>
      </c>
      <c r="C50" s="222" t="n">
        <f aca="false">C28*Parameters!$C$13</f>
        <v>18838.672</v>
      </c>
      <c r="D50" s="222" t="n">
        <f aca="false">D28*Parameters!$C$13</f>
        <v>20335.4432</v>
      </c>
      <c r="E50" s="222" t="n">
        <f aca="false">E28*Parameters!$C$13</f>
        <v>20225.766</v>
      </c>
      <c r="F50" s="222" t="n">
        <f aca="false">F28*Parameters!$C$13</f>
        <v>20645.12</v>
      </c>
      <c r="G50" s="222"/>
      <c r="H50" s="222" t="n">
        <f aca="false">SUM(C50:F50)</f>
        <v>80045.0012</v>
      </c>
    </row>
  </sheetData>
  <mergeCells count="2">
    <mergeCell ref="B6:F6"/>
    <mergeCell ref="B29:F29"/>
  </mergeCells>
  <hyperlinks>
    <hyperlink ref="C2" r:id="rId1" location=":~:text=Intel%20(884K%20wafers%2Fmonth),of%20the%20world%27s%20total%20capacity" display="https://www.eenewseurope.com/news/top-five-chip-makers-dominate-global-wafer-capacity#:~:text=Intel%20(884K%20wafers%2Fmonth),of%20the%20world%27s%20total%20capacity."/>
    <hyperlink ref="C3" r:id="rId2" display="https://www.semi.org/en/products-services/market-data/materials/si-shipment-statistics "/>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M2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5" activeCellId="0" sqref="B5"/>
    </sheetView>
  </sheetViews>
  <sheetFormatPr defaultColWidth="8.5" defaultRowHeight="15.75" zeroHeight="false" outlineLevelRow="0" outlineLevelCol="0"/>
  <cols>
    <col collapsed="false" customWidth="true" hidden="false" outlineLevel="0" max="1" min="1" style="0" width="4.63"/>
    <col collapsed="false" customWidth="true" hidden="false" outlineLevel="0" max="7" min="2" style="0" width="15.12"/>
    <col collapsed="false" customWidth="true" hidden="false" outlineLevel="0" max="8" min="8" style="0" width="21.13"/>
    <col collapsed="false" customWidth="true" hidden="false" outlineLevel="0" max="9" min="9" style="0" width="14.5"/>
    <col collapsed="false" customWidth="true" hidden="false" outlineLevel="0" max="10" min="10" style="0" width="12.75"/>
  </cols>
  <sheetData>
    <row r="2" customFormat="false" ht="15.75" hidden="false" customHeight="false" outlineLevel="0" collapsed="false">
      <c r="B2" s="92" t="s">
        <v>508</v>
      </c>
      <c r="C2" s="220" t="s">
        <v>658</v>
      </c>
      <c r="M2" s="220" t="s">
        <v>659</v>
      </c>
    </row>
    <row r="4" customFormat="false" ht="15.75" hidden="false" customHeight="false" outlineLevel="0" collapsed="false">
      <c r="B4" s="228" t="s">
        <v>660</v>
      </c>
      <c r="C4" s="229" t="s">
        <v>3</v>
      </c>
      <c r="D4" s="229" t="s">
        <v>661</v>
      </c>
      <c r="E4" s="229" t="s">
        <v>662</v>
      </c>
      <c r="F4" s="229" t="s">
        <v>663</v>
      </c>
      <c r="G4" s="229" t="s">
        <v>664</v>
      </c>
      <c r="H4" s="230" t="s">
        <v>665</v>
      </c>
      <c r="I4" s="231"/>
      <c r="J4" s="232" t="s">
        <v>666</v>
      </c>
    </row>
    <row r="5" customFormat="false" ht="15.75" hidden="false" customHeight="false" outlineLevel="0" collapsed="false">
      <c r="B5" s="233" t="s">
        <v>667</v>
      </c>
      <c r="C5" s="234" t="n">
        <f aca="false">2010+3/12</f>
        <v>2010.25</v>
      </c>
      <c r="D5" s="235" t="s">
        <v>668</v>
      </c>
      <c r="E5" s="235" t="n">
        <v>45</v>
      </c>
      <c r="F5" s="235" t="n">
        <v>53.3</v>
      </c>
      <c r="G5" s="236" t="n">
        <v>0.149</v>
      </c>
      <c r="H5" s="237" t="n">
        <f aca="false">G5*1000/F5</f>
        <v>2.79549718574109</v>
      </c>
      <c r="I5" s="238" t="s">
        <v>669</v>
      </c>
      <c r="J5" s="239" t="s">
        <v>670</v>
      </c>
    </row>
    <row r="6" customFormat="false" ht="15.75" hidden="false" customHeight="false" outlineLevel="0" collapsed="false">
      <c r="B6" s="240" t="s">
        <v>671</v>
      </c>
      <c r="C6" s="241" t="n">
        <f aca="false">2011+3/12</f>
        <v>2011.25</v>
      </c>
      <c r="D6" s="160" t="s">
        <v>668</v>
      </c>
      <c r="E6" s="160" t="n">
        <v>45</v>
      </c>
      <c r="F6" s="160" t="n">
        <v>122.2</v>
      </c>
      <c r="G6" s="242" t="n">
        <v>0.2</v>
      </c>
      <c r="H6" s="243" t="n">
        <f aca="false">G6*1000/F6</f>
        <v>1.6366612111293</v>
      </c>
      <c r="I6" s="30" t="s">
        <v>669</v>
      </c>
      <c r="J6" s="244" t="s">
        <v>670</v>
      </c>
    </row>
    <row r="7" customFormat="false" ht="15.75" hidden="false" customHeight="false" outlineLevel="0" collapsed="false">
      <c r="B7" s="240" t="s">
        <v>671</v>
      </c>
      <c r="C7" s="241" t="n">
        <f aca="false">2011+3/12</f>
        <v>2011.25</v>
      </c>
      <c r="D7" s="160"/>
      <c r="E7" s="160" t="n">
        <v>32</v>
      </c>
      <c r="F7" s="160" t="n">
        <v>69.6</v>
      </c>
      <c r="G7" s="242"/>
      <c r="H7" s="243"/>
      <c r="I7" s="30" t="s">
        <v>669</v>
      </c>
      <c r="J7" s="244" t="s">
        <v>670</v>
      </c>
    </row>
    <row r="8" customFormat="false" ht="15.75" hidden="false" customHeight="false" outlineLevel="0" collapsed="false">
      <c r="B8" s="240" t="s">
        <v>671</v>
      </c>
      <c r="C8" s="241" t="n">
        <f aca="false">2011+3/12</f>
        <v>2011.25</v>
      </c>
      <c r="D8" s="160"/>
      <c r="E8" s="160" t="n">
        <v>32</v>
      </c>
      <c r="F8" s="160" t="n">
        <v>37.8</v>
      </c>
      <c r="G8" s="242"/>
      <c r="H8" s="243"/>
      <c r="I8" s="30" t="s">
        <v>669</v>
      </c>
      <c r="J8" s="244" t="s">
        <v>670</v>
      </c>
    </row>
    <row r="9" customFormat="false" ht="15.75" hidden="false" customHeight="false" outlineLevel="0" collapsed="false">
      <c r="B9" s="240" t="s">
        <v>672</v>
      </c>
      <c r="C9" s="241" t="n">
        <f aca="false">2012+3/12</f>
        <v>2012.25</v>
      </c>
      <c r="D9" s="160" t="n">
        <v>1000</v>
      </c>
      <c r="E9" s="160" t="n">
        <v>45</v>
      </c>
      <c r="F9" s="160" t="n">
        <v>165</v>
      </c>
      <c r="G9" s="242"/>
      <c r="H9" s="243"/>
      <c r="I9" s="30" t="s">
        <v>669</v>
      </c>
      <c r="J9" s="244" t="s">
        <v>670</v>
      </c>
    </row>
    <row r="10" customFormat="false" ht="15.75" hidden="false" customHeight="false" outlineLevel="0" collapsed="false">
      <c r="B10" s="240" t="s">
        <v>673</v>
      </c>
      <c r="C10" s="241" t="n">
        <f aca="false">2012+9/12</f>
        <v>2012.75</v>
      </c>
      <c r="D10" s="160" t="n">
        <v>1300</v>
      </c>
      <c r="E10" s="160" t="n">
        <v>32</v>
      </c>
      <c r="F10" s="160" t="n">
        <v>96.71</v>
      </c>
      <c r="G10" s="242" t="n">
        <v>0.74</v>
      </c>
      <c r="H10" s="243" t="n">
        <f aca="false">G10*1000/F10</f>
        <v>7.6517423224072</v>
      </c>
      <c r="I10" s="30" t="s">
        <v>669</v>
      </c>
      <c r="J10" s="244" t="s">
        <v>670</v>
      </c>
    </row>
    <row r="11" customFormat="false" ht="15.75" hidden="false" customHeight="false" outlineLevel="0" collapsed="false">
      <c r="B11" s="240" t="s">
        <v>674</v>
      </c>
      <c r="C11" s="241" t="n">
        <f aca="false">2012+10/12</f>
        <v>2012.83333333333</v>
      </c>
      <c r="D11" s="160" t="n">
        <v>1400</v>
      </c>
      <c r="E11" s="160" t="n">
        <v>32</v>
      </c>
      <c r="F11" s="160" t="n">
        <v>123</v>
      </c>
      <c r="G11" s="242"/>
      <c r="H11" s="243"/>
      <c r="I11" s="30" t="s">
        <v>669</v>
      </c>
      <c r="J11" s="244" t="s">
        <v>670</v>
      </c>
    </row>
    <row r="12" customFormat="false" ht="15.75" hidden="false" customHeight="false" outlineLevel="0" collapsed="false">
      <c r="B12" s="240" t="s">
        <v>675</v>
      </c>
      <c r="C12" s="241" t="n">
        <f aca="false">2013+9/12</f>
        <v>2013.75</v>
      </c>
      <c r="D12" s="160" t="n">
        <v>1300</v>
      </c>
      <c r="E12" s="160" t="n">
        <v>28</v>
      </c>
      <c r="F12" s="160" t="n">
        <v>102</v>
      </c>
      <c r="G12" s="160" t="n">
        <v>1</v>
      </c>
      <c r="H12" s="243" t="n">
        <f aca="false">G12*1000/F12</f>
        <v>9.80392156862745</v>
      </c>
      <c r="I12" s="30" t="s">
        <v>669</v>
      </c>
      <c r="J12" s="244" t="s">
        <v>670</v>
      </c>
    </row>
    <row r="13" customFormat="false" ht="15.75" hidden="false" customHeight="false" outlineLevel="0" collapsed="false">
      <c r="B13" s="240" t="s">
        <v>676</v>
      </c>
      <c r="C13" s="241" t="n">
        <f aca="false">2014+9/12</f>
        <v>2014.75</v>
      </c>
      <c r="D13" s="160" t="n">
        <v>1400</v>
      </c>
      <c r="E13" s="160" t="n">
        <v>20</v>
      </c>
      <c r="F13" s="160" t="n">
        <v>89</v>
      </c>
      <c r="G13" s="160" t="n">
        <v>2</v>
      </c>
      <c r="H13" s="243" t="n">
        <f aca="false">G13*1000/F13</f>
        <v>22.4719101123596</v>
      </c>
      <c r="I13" s="30" t="s">
        <v>677</v>
      </c>
      <c r="J13" s="244" t="s">
        <v>272</v>
      </c>
    </row>
    <row r="14" customFormat="false" ht="15.75" hidden="false" customHeight="false" outlineLevel="0" collapsed="false">
      <c r="B14" s="240" t="s">
        <v>678</v>
      </c>
      <c r="C14" s="241" t="n">
        <f aca="false">2014+10/12</f>
        <v>2014.83333333333</v>
      </c>
      <c r="D14" s="160"/>
      <c r="E14" s="160" t="n">
        <v>20</v>
      </c>
      <c r="F14" s="160" t="n">
        <v>128</v>
      </c>
      <c r="G14" s="160" t="n">
        <v>3</v>
      </c>
      <c r="H14" s="243"/>
      <c r="I14" s="30" t="s">
        <v>677</v>
      </c>
      <c r="J14" s="244" t="s">
        <v>272</v>
      </c>
    </row>
    <row r="15" customFormat="false" ht="15.75" hidden="false" customHeight="false" outlineLevel="0" collapsed="false">
      <c r="B15" s="240" t="s">
        <v>679</v>
      </c>
      <c r="C15" s="241" t="n">
        <f aca="false">2015+9/12</f>
        <v>2015.75</v>
      </c>
      <c r="D15" s="160"/>
      <c r="E15" s="160" t="n">
        <v>14</v>
      </c>
      <c r="F15" s="160" t="n">
        <v>96</v>
      </c>
      <c r="G15" s="242"/>
      <c r="H15" s="243"/>
      <c r="I15" s="30" t="s">
        <v>669</v>
      </c>
      <c r="J15" s="244" t="s">
        <v>670</v>
      </c>
    </row>
    <row r="16" customFormat="false" ht="15.75" hidden="false" customHeight="false" outlineLevel="0" collapsed="false">
      <c r="B16" s="240" t="s">
        <v>679</v>
      </c>
      <c r="C16" s="241" t="n">
        <f aca="false">2015+9/12</f>
        <v>2015.75</v>
      </c>
      <c r="D16" s="160" t="n">
        <v>1850</v>
      </c>
      <c r="E16" s="160" t="n">
        <v>16</v>
      </c>
      <c r="F16" s="160" t="n">
        <v>104.5</v>
      </c>
      <c r="G16" s="242" t="n">
        <v>2</v>
      </c>
      <c r="H16" s="243" t="n">
        <f aca="false">G16*1000/F16</f>
        <v>19.1387559808612</v>
      </c>
      <c r="I16" s="30" t="s">
        <v>680</v>
      </c>
      <c r="J16" s="244" t="s">
        <v>272</v>
      </c>
    </row>
    <row r="17" customFormat="false" ht="15.75" hidden="false" customHeight="false" outlineLevel="0" collapsed="false">
      <c r="B17" s="240" t="s">
        <v>681</v>
      </c>
      <c r="C17" s="241" t="n">
        <f aca="false">2015+11/12</f>
        <v>2015.91666666667</v>
      </c>
      <c r="D17" s="160" t="n">
        <v>2260</v>
      </c>
      <c r="E17" s="160" t="n">
        <v>16</v>
      </c>
      <c r="F17" s="160" t="n">
        <v>147</v>
      </c>
      <c r="G17" s="160" t="n">
        <v>3</v>
      </c>
      <c r="H17" s="243"/>
      <c r="I17" s="30" t="s">
        <v>680</v>
      </c>
      <c r="J17" s="244" t="s">
        <v>272</v>
      </c>
      <c r="L17" s="0" t="s">
        <v>682</v>
      </c>
    </row>
    <row r="18" customFormat="false" ht="15.75" hidden="false" customHeight="false" outlineLevel="0" collapsed="false">
      <c r="B18" s="240" t="s">
        <v>683</v>
      </c>
      <c r="C18" s="241" t="n">
        <f aca="false">2016+9/12</f>
        <v>2016.75</v>
      </c>
      <c r="D18" s="160" t="n">
        <v>2340</v>
      </c>
      <c r="E18" s="160" t="n">
        <v>16</v>
      </c>
      <c r="F18" s="160" t="n">
        <v>125</v>
      </c>
      <c r="G18" s="160" t="n">
        <v>3.3</v>
      </c>
      <c r="H18" s="243" t="n">
        <f aca="false">G18*1000/F18</f>
        <v>26.4</v>
      </c>
      <c r="I18" s="30" t="s">
        <v>680</v>
      </c>
      <c r="J18" s="244" t="s">
        <v>272</v>
      </c>
      <c r="L18" s="0" t="n">
        <f aca="false">11.6*10.8</f>
        <v>125.28</v>
      </c>
    </row>
    <row r="19" customFormat="false" ht="15.75" hidden="false" customHeight="false" outlineLevel="0" collapsed="false">
      <c r="B19" s="240" t="s">
        <v>684</v>
      </c>
      <c r="C19" s="241" t="n">
        <f aca="false">2017+6/12</f>
        <v>2017.5</v>
      </c>
      <c r="D19" s="160" t="n">
        <v>2360</v>
      </c>
      <c r="E19" s="160" t="n">
        <v>10</v>
      </c>
      <c r="F19" s="160" t="n">
        <v>96.4</v>
      </c>
      <c r="G19" s="160"/>
      <c r="H19" s="243"/>
      <c r="I19" s="30" t="s">
        <v>680</v>
      </c>
      <c r="J19" s="244" t="s">
        <v>272</v>
      </c>
    </row>
    <row r="20" customFormat="false" ht="15.75" hidden="false" customHeight="false" outlineLevel="0" collapsed="false">
      <c r="B20" s="240" t="s">
        <v>685</v>
      </c>
      <c r="C20" s="241" t="n">
        <f aca="false">2017+9/12</f>
        <v>2017.75</v>
      </c>
      <c r="D20" s="160" t="n">
        <v>2380</v>
      </c>
      <c r="E20" s="160" t="n">
        <v>10</v>
      </c>
      <c r="F20" s="160" t="n">
        <v>89.23</v>
      </c>
      <c r="G20" s="160" t="n">
        <v>4.3</v>
      </c>
      <c r="H20" s="243" t="n">
        <f aca="false">G20*1000/F20</f>
        <v>48.1900706040569</v>
      </c>
      <c r="I20" s="30" t="s">
        <v>680</v>
      </c>
      <c r="J20" s="244" t="s">
        <v>272</v>
      </c>
      <c r="L20" s="0" t="n">
        <f aca="false">10*8.7</f>
        <v>87</v>
      </c>
    </row>
    <row r="21" customFormat="false" ht="15.75" hidden="false" customHeight="false" outlineLevel="0" collapsed="false">
      <c r="B21" s="240" t="s">
        <v>686</v>
      </c>
      <c r="C21" s="241" t="n">
        <f aca="false">2018+9/12</f>
        <v>2018.75</v>
      </c>
      <c r="D21" s="160" t="n">
        <v>2490</v>
      </c>
      <c r="E21" s="160" t="n">
        <v>7</v>
      </c>
      <c r="F21" s="160" t="n">
        <v>83.27</v>
      </c>
      <c r="G21" s="160" t="n">
        <v>6.9</v>
      </c>
      <c r="H21" s="243" t="n">
        <f aca="false">G21*1000/F21</f>
        <v>82.8629758616549</v>
      </c>
      <c r="I21" s="30" t="s">
        <v>687</v>
      </c>
      <c r="J21" s="244" t="s">
        <v>272</v>
      </c>
      <c r="L21" s="0" t="n">
        <f aca="false">9.9*8.4</f>
        <v>83.16</v>
      </c>
    </row>
    <row r="22" customFormat="false" ht="15.75" hidden="false" customHeight="false" outlineLevel="0" collapsed="false">
      <c r="B22" s="240" t="s">
        <v>688</v>
      </c>
      <c r="C22" s="241" t="n">
        <f aca="false">2018+10/12</f>
        <v>2018.83333333333</v>
      </c>
      <c r="D22" s="160" t="n">
        <v>2500</v>
      </c>
      <c r="E22" s="160" t="n">
        <v>7</v>
      </c>
      <c r="F22" s="160" t="n">
        <v>122</v>
      </c>
      <c r="G22" s="160" t="n">
        <v>10</v>
      </c>
      <c r="H22" s="243"/>
      <c r="I22" s="30" t="s">
        <v>687</v>
      </c>
      <c r="J22" s="244" t="s">
        <v>272</v>
      </c>
    </row>
    <row r="23" customFormat="false" ht="15.75" hidden="false" customHeight="false" outlineLevel="0" collapsed="false">
      <c r="B23" s="240" t="s">
        <v>689</v>
      </c>
      <c r="C23" s="241" t="n">
        <f aca="false">2020+3/12</f>
        <v>2020.25</v>
      </c>
      <c r="D23" s="160" t="n">
        <v>2500</v>
      </c>
      <c r="E23" s="160" t="n">
        <v>7</v>
      </c>
      <c r="F23" s="160" t="n">
        <v>122</v>
      </c>
      <c r="G23" s="160" t="n">
        <v>10</v>
      </c>
      <c r="H23" s="243"/>
      <c r="I23" s="30" t="s">
        <v>687</v>
      </c>
      <c r="J23" s="244" t="s">
        <v>272</v>
      </c>
    </row>
    <row r="24" customFormat="false" ht="15.75" hidden="false" customHeight="false" outlineLevel="0" collapsed="false">
      <c r="B24" s="240" t="s">
        <v>690</v>
      </c>
      <c r="C24" s="241" t="n">
        <f aca="false">2019+9/12</f>
        <v>2019.75</v>
      </c>
      <c r="D24" s="160" t="n">
        <v>2670</v>
      </c>
      <c r="E24" s="160" t="n">
        <v>7</v>
      </c>
      <c r="F24" s="160" t="n">
        <v>98</v>
      </c>
      <c r="G24" s="160" t="n">
        <v>8.5</v>
      </c>
      <c r="H24" s="243" t="n">
        <f aca="false">G24*1000/F24</f>
        <v>86.734693877551</v>
      </c>
      <c r="I24" s="30" t="s">
        <v>687</v>
      </c>
      <c r="J24" s="244" t="s">
        <v>272</v>
      </c>
    </row>
    <row r="25" customFormat="false" ht="15.75" hidden="false" customHeight="false" outlineLevel="0" collapsed="false">
      <c r="B25" s="240" t="s">
        <v>691</v>
      </c>
      <c r="C25" s="241" t="n">
        <f aca="false">2020+9/12</f>
        <v>2020.75</v>
      </c>
      <c r="D25" s="160" t="n">
        <v>2990</v>
      </c>
      <c r="E25" s="160" t="n">
        <v>5</v>
      </c>
      <c r="F25" s="160" t="n">
        <v>88</v>
      </c>
      <c r="G25" s="160" t="n">
        <v>11.8</v>
      </c>
      <c r="H25" s="243" t="n">
        <f aca="false">G25*1000/F25</f>
        <v>134.090909090909</v>
      </c>
      <c r="I25" s="30" t="s">
        <v>692</v>
      </c>
      <c r="J25" s="244" t="s">
        <v>272</v>
      </c>
    </row>
    <row r="26" customFormat="false" ht="15.75" hidden="false" customHeight="false" outlineLevel="0" collapsed="false">
      <c r="B26" s="245" t="s">
        <v>693</v>
      </c>
      <c r="C26" s="246" t="n">
        <f aca="false">2021+9/12</f>
        <v>2021.75</v>
      </c>
      <c r="D26" s="247" t="n">
        <v>3230</v>
      </c>
      <c r="E26" s="247" t="n">
        <v>5</v>
      </c>
      <c r="F26" s="247" t="n">
        <v>107.68</v>
      </c>
      <c r="G26" s="248" t="n">
        <v>15</v>
      </c>
      <c r="H26" s="249" t="n">
        <f aca="false">G26*1000/F26</f>
        <v>139.301634472511</v>
      </c>
      <c r="I26" s="250" t="s">
        <v>694</v>
      </c>
      <c r="J26" s="251" t="s">
        <v>272</v>
      </c>
    </row>
  </sheetData>
  <hyperlinks>
    <hyperlink ref="C2" r:id="rId1" location="Apple%20A6" display="https://namu.wiki/w/Apple%20Silicon/A%20%EC%8B%9C%EB%A6%AC%EC%A6%88?from=Apple%20A6#Apple%20A6"/>
    <hyperlink ref="M2" r:id="rId2" location="Apple_A4" display="https://en.wikipedia.org/wiki/Apple_silicon#Apple_A4"/>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FF8C8C"/>
    <pageSetUpPr fitToPage="false"/>
  </sheetPr>
  <dimension ref="A2:G120"/>
  <sheetViews>
    <sheetView showFormulas="false" showGridLines="true" showRowColHeaders="true" showZeros="true" rightToLeft="false" tabSelected="false" showOutlineSymbols="true" defaultGridColor="true" view="normal" topLeftCell="A1" colorId="64" zoomScale="60" zoomScaleNormal="60" zoomScalePageLayoutView="100" workbookViewId="0">
      <pane xSplit="0" ySplit="7" topLeftCell="A71" activePane="bottomLeft" state="frozen"/>
      <selection pane="topLeft" activeCell="A1" activeCellId="0" sqref="A1"/>
      <selection pane="bottomLeft" activeCell="F84" activeCellId="0" sqref="F84"/>
    </sheetView>
  </sheetViews>
  <sheetFormatPr defaultColWidth="8.5" defaultRowHeight="15.75" zeroHeight="false" outlineLevelRow="0" outlineLevelCol="0"/>
  <cols>
    <col collapsed="false" customWidth="true" hidden="false" outlineLevel="0" max="1" min="1" style="0" width="4.13"/>
    <col collapsed="false" customWidth="true" hidden="false" outlineLevel="0" max="2" min="2" style="0" width="11.25"/>
    <col collapsed="false" customWidth="true" hidden="false" outlineLevel="0" max="3" min="3" style="0" width="125.63"/>
    <col collapsed="false" customWidth="true" hidden="false" outlineLevel="0" max="4" min="4" style="0" width="37.5"/>
    <col collapsed="false" customWidth="true" hidden="false" outlineLevel="0" max="5" min="5" style="0" width="11"/>
    <col collapsed="false" customWidth="true" hidden="false" outlineLevel="0" max="6" min="6" style="0" width="14"/>
    <col collapsed="false" customWidth="true" hidden="false" outlineLevel="0" max="7" min="7" style="77" width="119.76"/>
  </cols>
  <sheetData>
    <row r="2" customFormat="false" ht="15.75" hidden="false" customHeight="false" outlineLevel="0" collapsed="false">
      <c r="B2" s="89" t="s">
        <v>695</v>
      </c>
    </row>
    <row r="3" customFormat="false" ht="15.75" hidden="false" customHeight="false" outlineLevel="0" collapsed="false">
      <c r="C3" s="252" t="s">
        <v>696</v>
      </c>
    </row>
    <row r="4" customFormat="false" ht="15.75" hidden="false" customHeight="false" outlineLevel="0" collapsed="false">
      <c r="B4" s="252"/>
      <c r="C4" s="252" t="s">
        <v>697</v>
      </c>
    </row>
    <row r="5" customFormat="false" ht="15.75" hidden="false" customHeight="false" outlineLevel="0" collapsed="false">
      <c r="B5" s="252"/>
      <c r="C5" s="252" t="s">
        <v>698</v>
      </c>
    </row>
    <row r="7" s="69" customFormat="true" ht="31.5" hidden="false" customHeight="false" outlineLevel="0" collapsed="false">
      <c r="B7" s="74" t="s">
        <v>699</v>
      </c>
      <c r="C7" s="74" t="s">
        <v>700</v>
      </c>
      <c r="D7" s="253" t="s">
        <v>2</v>
      </c>
      <c r="E7" s="74" t="s">
        <v>701</v>
      </c>
      <c r="F7" s="253" t="s">
        <v>4</v>
      </c>
      <c r="G7" s="74" t="s">
        <v>7</v>
      </c>
    </row>
    <row r="8" customFormat="false" ht="30.75" hidden="false" customHeight="true" outlineLevel="0" collapsed="false">
      <c r="B8" s="254"/>
      <c r="C8" s="254"/>
      <c r="D8" s="254"/>
      <c r="E8" s="254"/>
      <c r="F8" s="254"/>
      <c r="G8" s="254"/>
    </row>
    <row r="9" customFormat="false" ht="15.75" hidden="false" customHeight="false" outlineLevel="0" collapsed="false">
      <c r="A9" s="0" t="n">
        <v>1</v>
      </c>
      <c r="B9" s="0" t="s">
        <v>702</v>
      </c>
      <c r="C9" s="0" t="s">
        <v>154</v>
      </c>
      <c r="D9" s="0" t="s">
        <v>703</v>
      </c>
      <c r="E9" s="0" t="n">
        <v>2017</v>
      </c>
      <c r="F9" s="220" t="s">
        <v>156</v>
      </c>
    </row>
    <row r="10" customFormat="false" ht="15.75" hidden="false" customHeight="false" outlineLevel="0" collapsed="false">
      <c r="A10" s="0" t="n">
        <v>2</v>
      </c>
      <c r="B10" s="0" t="s">
        <v>702</v>
      </c>
      <c r="C10" s="0" t="s">
        <v>704</v>
      </c>
      <c r="D10" s="0" t="s">
        <v>705</v>
      </c>
      <c r="E10" s="0" t="n">
        <v>2014</v>
      </c>
      <c r="F10" s="220" t="s">
        <v>706</v>
      </c>
    </row>
    <row r="11" customFormat="false" ht="15.75" hidden="false" customHeight="false" outlineLevel="0" collapsed="false">
      <c r="A11" s="0" t="n">
        <v>3</v>
      </c>
      <c r="B11" s="0" t="s">
        <v>702</v>
      </c>
      <c r="C11" s="0" t="s">
        <v>140</v>
      </c>
      <c r="D11" s="0" t="s">
        <v>707</v>
      </c>
      <c r="E11" s="0" t="n">
        <v>2020</v>
      </c>
      <c r="F11" s="220" t="s">
        <v>708</v>
      </c>
    </row>
    <row r="12" customFormat="false" ht="15.75" hidden="false" customHeight="false" outlineLevel="0" collapsed="false">
      <c r="A12" s="0" t="n">
        <v>4</v>
      </c>
      <c r="B12" s="0" t="s">
        <v>702</v>
      </c>
      <c r="C12" s="0" t="s">
        <v>110</v>
      </c>
      <c r="D12" s="0" t="s">
        <v>709</v>
      </c>
      <c r="E12" s="0" t="n">
        <v>2017</v>
      </c>
      <c r="F12" s="220" t="s">
        <v>710</v>
      </c>
    </row>
    <row r="13" customFormat="false" ht="15.75" hidden="false" customHeight="false" outlineLevel="0" collapsed="false">
      <c r="A13" s="0" t="n">
        <v>5</v>
      </c>
      <c r="B13" s="0" t="s">
        <v>702</v>
      </c>
      <c r="C13" s="0" t="s">
        <v>122</v>
      </c>
      <c r="D13" s="0" t="s">
        <v>711</v>
      </c>
      <c r="E13" s="0" t="n">
        <v>2012</v>
      </c>
      <c r="F13" s="220" t="s">
        <v>712</v>
      </c>
    </row>
    <row r="14" customFormat="false" ht="15.75" hidden="false" customHeight="false" outlineLevel="0" collapsed="false">
      <c r="A14" s="0" t="n">
        <v>6</v>
      </c>
      <c r="B14" s="0" t="s">
        <v>702</v>
      </c>
      <c r="C14" s="0" t="s">
        <v>713</v>
      </c>
      <c r="D14" s="0" t="s">
        <v>714</v>
      </c>
      <c r="E14" s="0" t="n">
        <v>2011</v>
      </c>
      <c r="F14" s="220" t="s">
        <v>715</v>
      </c>
    </row>
    <row r="15" customFormat="false" ht="15.75" hidden="false" customHeight="false" outlineLevel="0" collapsed="false">
      <c r="A15" s="0" t="n">
        <v>7</v>
      </c>
      <c r="B15" s="0" t="s">
        <v>702</v>
      </c>
      <c r="C15" s="77" t="s">
        <v>373</v>
      </c>
      <c r="D15" s="0" t="s">
        <v>716</v>
      </c>
      <c r="E15" s="0" t="n">
        <v>2014</v>
      </c>
      <c r="F15" s="220" t="s">
        <v>375</v>
      </c>
      <c r="G15" s="77" t="s">
        <v>717</v>
      </c>
    </row>
    <row r="16" customFormat="false" ht="15.75" hidden="false" customHeight="false" outlineLevel="0" collapsed="false">
      <c r="A16" s="0" t="n">
        <v>8</v>
      </c>
      <c r="B16" s="0" t="s">
        <v>702</v>
      </c>
      <c r="C16" s="0" t="s">
        <v>362</v>
      </c>
      <c r="D16" s="0" t="s">
        <v>718</v>
      </c>
      <c r="E16" s="0" t="n">
        <v>2012</v>
      </c>
      <c r="F16" s="220" t="s">
        <v>719</v>
      </c>
      <c r="G16" s="77" t="s">
        <v>720</v>
      </c>
    </row>
    <row r="17" customFormat="false" ht="15.75" hidden="false" customHeight="false" outlineLevel="0" collapsed="false">
      <c r="A17" s="0" t="n">
        <v>9</v>
      </c>
      <c r="B17" s="0" t="s">
        <v>702</v>
      </c>
      <c r="C17" s="0" t="s">
        <v>721</v>
      </c>
      <c r="D17" s="0" t="s">
        <v>722</v>
      </c>
      <c r="E17" s="0" t="n">
        <v>2020</v>
      </c>
      <c r="F17" s="220" t="s">
        <v>390</v>
      </c>
      <c r="G17" s="255" t="s">
        <v>723</v>
      </c>
    </row>
    <row r="18" customFormat="false" ht="15.75" hidden="false" customHeight="false" outlineLevel="0" collapsed="false">
      <c r="A18" s="0" t="n">
        <v>10</v>
      </c>
      <c r="B18" s="0" t="s">
        <v>702</v>
      </c>
      <c r="C18" s="0" t="s">
        <v>99</v>
      </c>
      <c r="D18" s="0" t="s">
        <v>724</v>
      </c>
      <c r="E18" s="0" t="n">
        <v>2015</v>
      </c>
      <c r="F18" s="220" t="s">
        <v>101</v>
      </c>
      <c r="G18" s="77" t="s">
        <v>725</v>
      </c>
    </row>
    <row r="19" customFormat="false" ht="15.75" hidden="false" customHeight="false" outlineLevel="0" collapsed="false">
      <c r="A19" s="0" t="n">
        <v>11</v>
      </c>
      <c r="B19" s="0" t="s">
        <v>702</v>
      </c>
      <c r="C19" s="77" t="s">
        <v>70</v>
      </c>
      <c r="D19" s="0" t="s">
        <v>726</v>
      </c>
      <c r="E19" s="0" t="n">
        <v>2016</v>
      </c>
      <c r="F19" s="220" t="s">
        <v>727</v>
      </c>
    </row>
    <row r="20" customFormat="false" ht="15.75" hidden="false" customHeight="false" outlineLevel="0" collapsed="false">
      <c r="A20" s="0" t="n">
        <v>12</v>
      </c>
      <c r="B20" s="0" t="s">
        <v>702</v>
      </c>
      <c r="C20" s="77" t="s">
        <v>80</v>
      </c>
      <c r="D20" s="0" t="s">
        <v>728</v>
      </c>
      <c r="E20" s="0" t="n">
        <v>2020</v>
      </c>
      <c r="F20" s="220" t="s">
        <v>81</v>
      </c>
    </row>
    <row r="21" customFormat="false" ht="31.5" hidden="false" customHeight="false" outlineLevel="0" collapsed="false">
      <c r="A21" s="0" t="n">
        <v>13</v>
      </c>
      <c r="B21" s="0" t="s">
        <v>702</v>
      </c>
      <c r="C21" s="77" t="s">
        <v>106</v>
      </c>
      <c r="D21" s="0" t="s">
        <v>709</v>
      </c>
      <c r="E21" s="0" t="n">
        <v>2014</v>
      </c>
      <c r="F21" s="256" t="s">
        <v>107</v>
      </c>
    </row>
    <row r="22" customFormat="false" ht="15.75" hidden="false" customHeight="false" outlineLevel="0" collapsed="false">
      <c r="A22" s="0" t="n">
        <v>14</v>
      </c>
      <c r="B22" s="0" t="s">
        <v>702</v>
      </c>
      <c r="C22" s="77" t="s">
        <v>116</v>
      </c>
      <c r="D22" s="0" t="s">
        <v>729</v>
      </c>
      <c r="E22" s="0" t="n">
        <v>2016</v>
      </c>
      <c r="F22" s="220" t="s">
        <v>730</v>
      </c>
    </row>
    <row r="23" customFormat="false" ht="15.75" hidden="false" customHeight="false" outlineLevel="0" collapsed="false">
      <c r="A23" s="0" t="n">
        <v>15</v>
      </c>
      <c r="B23" s="0" t="s">
        <v>702</v>
      </c>
      <c r="C23" s="77" t="s">
        <v>731</v>
      </c>
      <c r="D23" s="0" t="s">
        <v>732</v>
      </c>
      <c r="E23" s="0" t="n">
        <v>2013</v>
      </c>
      <c r="F23" s="220" t="s">
        <v>130</v>
      </c>
    </row>
    <row r="24" customFormat="false" ht="15.75" hidden="false" customHeight="false" outlineLevel="0" collapsed="false">
      <c r="A24" s="0" t="n">
        <v>16</v>
      </c>
      <c r="B24" s="0" t="s">
        <v>702</v>
      </c>
      <c r="C24" s="77" t="s">
        <v>136</v>
      </c>
      <c r="D24" s="0" t="s">
        <v>733</v>
      </c>
      <c r="E24" s="0" t="n">
        <v>2013</v>
      </c>
      <c r="F24" s="220" t="s">
        <v>734</v>
      </c>
    </row>
    <row r="25" customFormat="false" ht="15.75" hidden="false" customHeight="false" outlineLevel="0" collapsed="false">
      <c r="A25" s="0" t="n">
        <v>17</v>
      </c>
      <c r="B25" s="0" t="s">
        <v>702</v>
      </c>
      <c r="C25" s="77" t="s">
        <v>735</v>
      </c>
      <c r="D25" s="0" t="s">
        <v>736</v>
      </c>
      <c r="E25" s="0" t="n">
        <v>2011</v>
      </c>
      <c r="F25" s="220" t="s">
        <v>385</v>
      </c>
    </row>
    <row r="26" customFormat="false" ht="15.75" hidden="false" customHeight="false" outlineLevel="0" collapsed="false">
      <c r="A26" s="0" t="n">
        <v>18</v>
      </c>
      <c r="B26" s="0" t="s">
        <v>702</v>
      </c>
      <c r="C26" s="205" t="s">
        <v>737</v>
      </c>
      <c r="D26" s="0" t="s">
        <v>738</v>
      </c>
      <c r="E26" s="0" t="n">
        <v>2011</v>
      </c>
      <c r="F26" s="220" t="s">
        <v>366</v>
      </c>
    </row>
    <row r="27" customFormat="false" ht="15.75" hidden="false" customHeight="false" outlineLevel="0" collapsed="false">
      <c r="A27" s="0" t="n">
        <v>19</v>
      </c>
      <c r="B27" s="0" t="s">
        <v>739</v>
      </c>
      <c r="C27" s="205" t="s">
        <v>740</v>
      </c>
      <c r="D27" s="0" t="s">
        <v>741</v>
      </c>
      <c r="E27" s="0" t="n">
        <v>2011</v>
      </c>
      <c r="F27" s="220" t="s">
        <v>742</v>
      </c>
      <c r="G27" s="77" t="s">
        <v>743</v>
      </c>
    </row>
    <row r="28" customFormat="false" ht="15.75" hidden="false" customHeight="false" outlineLevel="0" collapsed="false">
      <c r="A28" s="0" t="n">
        <v>20</v>
      </c>
      <c r="B28" s="0" t="s">
        <v>739</v>
      </c>
      <c r="C28" s="0" t="s">
        <v>744</v>
      </c>
      <c r="D28" s="0" t="s">
        <v>745</v>
      </c>
      <c r="E28" s="0" t="n">
        <v>2011</v>
      </c>
      <c r="F28" s="220" t="s">
        <v>746</v>
      </c>
      <c r="G28" s="77" t="s">
        <v>747</v>
      </c>
    </row>
    <row r="29" customFormat="false" ht="15.75" hidden="false" customHeight="false" outlineLevel="0" collapsed="false">
      <c r="A29" s="0" t="n">
        <v>21</v>
      </c>
      <c r="B29" s="0" t="s">
        <v>739</v>
      </c>
      <c r="C29" s="0" t="s">
        <v>748</v>
      </c>
      <c r="D29" s="0" t="s">
        <v>749</v>
      </c>
      <c r="E29" s="0" t="n">
        <v>2016</v>
      </c>
      <c r="F29" s="220" t="s">
        <v>750</v>
      </c>
      <c r="G29" s="77" t="s">
        <v>751</v>
      </c>
    </row>
    <row r="30" customFormat="false" ht="15.75" hidden="false" customHeight="false" outlineLevel="0" collapsed="false">
      <c r="A30" s="0" t="n">
        <v>22</v>
      </c>
      <c r="B30" s="0" t="s">
        <v>739</v>
      </c>
      <c r="C30" s="0" t="s">
        <v>752</v>
      </c>
      <c r="D30" s="0" t="s">
        <v>753</v>
      </c>
      <c r="E30" s="0" t="n">
        <v>2015</v>
      </c>
      <c r="F30" s="220" t="s">
        <v>754</v>
      </c>
      <c r="G30" s="77" t="s">
        <v>755</v>
      </c>
    </row>
    <row r="31" customFormat="false" ht="15.75" hidden="false" customHeight="false" outlineLevel="0" collapsed="false">
      <c r="A31" s="0" t="n">
        <v>23</v>
      </c>
      <c r="B31" s="0" t="s">
        <v>739</v>
      </c>
      <c r="C31" s="0" t="s">
        <v>756</v>
      </c>
      <c r="D31" s="0" t="s">
        <v>757</v>
      </c>
      <c r="E31" s="0" t="n">
        <v>2011</v>
      </c>
      <c r="F31" s="220" t="s">
        <v>758</v>
      </c>
      <c r="G31" s="77" t="s">
        <v>755</v>
      </c>
    </row>
    <row r="32" customFormat="false" ht="15.75" hidden="false" customHeight="false" outlineLevel="0" collapsed="false">
      <c r="A32" s="0" t="n">
        <v>24</v>
      </c>
      <c r="B32" s="0" t="s">
        <v>739</v>
      </c>
      <c r="C32" s="0" t="s">
        <v>759</v>
      </c>
      <c r="D32" s="0" t="s">
        <v>760</v>
      </c>
      <c r="E32" s="0" t="n">
        <v>2021</v>
      </c>
      <c r="F32" s="220" t="s">
        <v>761</v>
      </c>
      <c r="G32" s="77" t="s">
        <v>755</v>
      </c>
    </row>
    <row r="33" customFormat="false" ht="15.75" hidden="false" customHeight="false" outlineLevel="0" collapsed="false">
      <c r="A33" s="0" t="n">
        <v>25</v>
      </c>
      <c r="B33" s="0" t="s">
        <v>739</v>
      </c>
      <c r="C33" s="0" t="s">
        <v>762</v>
      </c>
      <c r="D33" s="0" t="s">
        <v>763</v>
      </c>
      <c r="E33" s="0" t="n">
        <v>2020</v>
      </c>
      <c r="F33" s="220" t="s">
        <v>764</v>
      </c>
      <c r="G33" s="77" t="s">
        <v>755</v>
      </c>
    </row>
    <row r="34" customFormat="false" ht="15.75" hidden="false" customHeight="false" outlineLevel="0" collapsed="false">
      <c r="A34" s="0" t="n">
        <v>26</v>
      </c>
      <c r="B34" s="0" t="s">
        <v>739</v>
      </c>
      <c r="C34" s="0" t="s">
        <v>765</v>
      </c>
      <c r="D34" s="0" t="s">
        <v>766</v>
      </c>
      <c r="E34" s="0" t="n">
        <v>2016</v>
      </c>
      <c r="F34" s="220" t="s">
        <v>767</v>
      </c>
      <c r="G34" s="77" t="s">
        <v>768</v>
      </c>
    </row>
    <row r="35" customFormat="false" ht="15.75" hidden="false" customHeight="false" outlineLevel="0" collapsed="false">
      <c r="A35" s="0" t="n">
        <v>27</v>
      </c>
      <c r="B35" s="0" t="s">
        <v>739</v>
      </c>
      <c r="C35" s="0" t="s">
        <v>769</v>
      </c>
      <c r="D35" s="0" t="s">
        <v>770</v>
      </c>
      <c r="E35" s="0" t="n">
        <v>2020</v>
      </c>
      <c r="F35" s="220" t="s">
        <v>525</v>
      </c>
      <c r="G35" s="77" t="s">
        <v>771</v>
      </c>
    </row>
    <row r="36" customFormat="false" ht="15.75" hidden="false" customHeight="false" outlineLevel="0" collapsed="false">
      <c r="A36" s="0" t="n">
        <v>28</v>
      </c>
      <c r="B36" s="0" t="s">
        <v>739</v>
      </c>
      <c r="C36" s="0" t="s">
        <v>772</v>
      </c>
      <c r="D36" s="0" t="s">
        <v>773</v>
      </c>
      <c r="E36" s="0" t="n">
        <v>2010</v>
      </c>
      <c r="F36" s="220" t="s">
        <v>774</v>
      </c>
      <c r="G36" s="77" t="s">
        <v>755</v>
      </c>
    </row>
    <row r="37" customFormat="false" ht="15.75" hidden="false" customHeight="false" outlineLevel="0" collapsed="false">
      <c r="A37" s="0" t="n">
        <v>29</v>
      </c>
      <c r="B37" s="0" t="s">
        <v>739</v>
      </c>
      <c r="C37" s="0" t="s">
        <v>775</v>
      </c>
      <c r="D37" s="0" t="s">
        <v>776</v>
      </c>
      <c r="E37" s="0" t="n">
        <v>2013</v>
      </c>
      <c r="F37" s="220" t="s">
        <v>777</v>
      </c>
      <c r="G37" s="77" t="s">
        <v>755</v>
      </c>
    </row>
    <row r="38" customFormat="false" ht="15.75" hidden="false" customHeight="false" outlineLevel="0" collapsed="false">
      <c r="A38" s="0" t="n">
        <v>30</v>
      </c>
      <c r="B38" s="0" t="s">
        <v>739</v>
      </c>
      <c r="C38" s="0" t="s">
        <v>778</v>
      </c>
      <c r="D38" s="0" t="s">
        <v>779</v>
      </c>
      <c r="E38" s="0" t="n">
        <v>2020</v>
      </c>
      <c r="F38" s="220" t="s">
        <v>780</v>
      </c>
      <c r="G38" s="77" t="s">
        <v>755</v>
      </c>
    </row>
    <row r="39" customFormat="false" ht="15.75" hidden="false" customHeight="false" outlineLevel="0" collapsed="false">
      <c r="A39" s="0" t="n">
        <v>31</v>
      </c>
      <c r="B39" s="0" t="s">
        <v>739</v>
      </c>
      <c r="C39" s="0" t="s">
        <v>781</v>
      </c>
      <c r="D39" s="0" t="s">
        <v>782</v>
      </c>
      <c r="E39" s="0" t="n">
        <v>2010</v>
      </c>
      <c r="F39" s="220" t="s">
        <v>783</v>
      </c>
      <c r="G39" s="77" t="s">
        <v>755</v>
      </c>
    </row>
    <row r="40" customFormat="false" ht="15.75" hidden="false" customHeight="false" outlineLevel="0" collapsed="false">
      <c r="A40" s="0" t="n">
        <v>32</v>
      </c>
      <c r="B40" s="0" t="s">
        <v>739</v>
      </c>
      <c r="C40" s="0" t="s">
        <v>784</v>
      </c>
      <c r="D40" s="0" t="s">
        <v>785</v>
      </c>
      <c r="E40" s="0" t="n">
        <v>2010</v>
      </c>
      <c r="F40" s="220" t="s">
        <v>786</v>
      </c>
      <c r="G40" s="77" t="s">
        <v>743</v>
      </c>
    </row>
    <row r="41" customFormat="false" ht="15.75" hidden="false" customHeight="false" outlineLevel="0" collapsed="false">
      <c r="A41" s="0" t="n">
        <v>33</v>
      </c>
      <c r="B41" s="0" t="s">
        <v>739</v>
      </c>
      <c r="C41" s="0" t="s">
        <v>787</v>
      </c>
      <c r="D41" s="0" t="s">
        <v>788</v>
      </c>
      <c r="E41" s="0" t="n">
        <v>2013</v>
      </c>
      <c r="F41" s="220" t="s">
        <v>789</v>
      </c>
      <c r="G41" s="77" t="s">
        <v>755</v>
      </c>
    </row>
    <row r="42" customFormat="false" ht="15.75" hidden="false" customHeight="false" outlineLevel="0" collapsed="false">
      <c r="A42" s="0" t="n">
        <v>34</v>
      </c>
      <c r="B42" s="0" t="s">
        <v>739</v>
      </c>
      <c r="C42" s="0" t="s">
        <v>790</v>
      </c>
      <c r="D42" s="0" t="s">
        <v>791</v>
      </c>
      <c r="E42" s="0" t="n">
        <v>2021</v>
      </c>
      <c r="F42" s="220" t="s">
        <v>792</v>
      </c>
      <c r="G42" s="77" t="s">
        <v>755</v>
      </c>
    </row>
    <row r="43" customFormat="false" ht="15.75" hidden="false" customHeight="false" outlineLevel="0" collapsed="false">
      <c r="A43" s="0" t="n">
        <v>35</v>
      </c>
      <c r="B43" s="0" t="s">
        <v>739</v>
      </c>
      <c r="C43" s="0" t="s">
        <v>793</v>
      </c>
      <c r="D43" s="0" t="s">
        <v>794</v>
      </c>
      <c r="E43" s="0" t="n">
        <v>2014</v>
      </c>
      <c r="F43" s="220" t="s">
        <v>795</v>
      </c>
      <c r="G43" s="77" t="s">
        <v>796</v>
      </c>
    </row>
    <row r="44" customFormat="false" ht="15.75" hidden="false" customHeight="false" outlineLevel="0" collapsed="false">
      <c r="A44" s="0" t="n">
        <v>36</v>
      </c>
      <c r="B44" s="0" t="s">
        <v>739</v>
      </c>
      <c r="C44" s="0" t="s">
        <v>797</v>
      </c>
      <c r="D44" s="0" t="s">
        <v>798</v>
      </c>
      <c r="E44" s="0" t="n">
        <v>2018</v>
      </c>
      <c r="F44" s="220" t="s">
        <v>799</v>
      </c>
      <c r="G44" s="77" t="s">
        <v>755</v>
      </c>
    </row>
    <row r="45" customFormat="false" ht="15.75" hidden="false" customHeight="false" outlineLevel="0" collapsed="false">
      <c r="A45" s="0" t="n">
        <v>37</v>
      </c>
      <c r="B45" s="0" t="s">
        <v>739</v>
      </c>
      <c r="C45" s="0" t="s">
        <v>800</v>
      </c>
      <c r="D45" s="0" t="s">
        <v>801</v>
      </c>
      <c r="E45" s="0" t="n">
        <v>2021</v>
      </c>
      <c r="F45" s="220" t="s">
        <v>802</v>
      </c>
      <c r="G45" s="255" t="s">
        <v>803</v>
      </c>
    </row>
    <row r="46" customFormat="false" ht="15.75" hidden="false" customHeight="false" outlineLevel="0" collapsed="false">
      <c r="A46" s="0" t="n">
        <v>38</v>
      </c>
      <c r="B46" s="0" t="s">
        <v>739</v>
      </c>
      <c r="C46" s="77" t="s">
        <v>804</v>
      </c>
      <c r="D46" s="0" t="s">
        <v>805</v>
      </c>
      <c r="E46" s="0" t="n">
        <v>2019</v>
      </c>
      <c r="F46" s="220" t="s">
        <v>806</v>
      </c>
    </row>
    <row r="47" customFormat="false" ht="15.75" hidden="false" customHeight="false" outlineLevel="0" collapsed="false">
      <c r="A47" s="0" t="n">
        <v>39</v>
      </c>
      <c r="B47" s="0" t="s">
        <v>739</v>
      </c>
      <c r="C47" s="77" t="s">
        <v>807</v>
      </c>
      <c r="D47" s="0" t="s">
        <v>808</v>
      </c>
      <c r="E47" s="0" t="n">
        <v>2010</v>
      </c>
      <c r="F47" s="220" t="s">
        <v>809</v>
      </c>
      <c r="G47" s="255" t="s">
        <v>810</v>
      </c>
    </row>
    <row r="48" customFormat="false" ht="15.75" hidden="false" customHeight="false" outlineLevel="0" collapsed="false">
      <c r="A48" s="0" t="n">
        <v>40</v>
      </c>
      <c r="B48" s="0" t="s">
        <v>739</v>
      </c>
      <c r="C48" s="0" t="s">
        <v>811</v>
      </c>
      <c r="D48" s="0" t="s">
        <v>812</v>
      </c>
      <c r="E48" s="0" t="n">
        <v>2020</v>
      </c>
      <c r="F48" s="220" t="s">
        <v>813</v>
      </c>
      <c r="G48" s="77" t="s">
        <v>755</v>
      </c>
    </row>
    <row r="49" customFormat="false" ht="15.75" hidden="false" customHeight="false" outlineLevel="0" collapsed="false">
      <c r="A49" s="0" t="n">
        <v>41</v>
      </c>
      <c r="B49" s="0" t="s">
        <v>739</v>
      </c>
      <c r="C49" s="77" t="s">
        <v>814</v>
      </c>
      <c r="D49" s="0" t="s">
        <v>815</v>
      </c>
      <c r="E49" s="0" t="n">
        <v>2014</v>
      </c>
      <c r="F49" s="220" t="s">
        <v>816</v>
      </c>
      <c r="G49" s="77" t="s">
        <v>755</v>
      </c>
    </row>
    <row r="50" customFormat="false" ht="15.75" hidden="false" customHeight="false" outlineLevel="0" collapsed="false">
      <c r="A50" s="0" t="n">
        <v>42</v>
      </c>
      <c r="B50" s="0" t="s">
        <v>739</v>
      </c>
      <c r="C50" s="0" t="s">
        <v>817</v>
      </c>
      <c r="D50" s="0" t="s">
        <v>818</v>
      </c>
      <c r="E50" s="0" t="n">
        <v>2014</v>
      </c>
      <c r="F50" s="220" t="s">
        <v>819</v>
      </c>
      <c r="G50" s="77" t="s">
        <v>820</v>
      </c>
    </row>
    <row r="51" customFormat="false" ht="15.75" hidden="false" customHeight="false" outlineLevel="0" collapsed="false">
      <c r="A51" s="0" t="n">
        <v>43</v>
      </c>
      <c r="B51" s="0" t="s">
        <v>739</v>
      </c>
      <c r="C51" s="77" t="s">
        <v>821</v>
      </c>
      <c r="D51" s="0" t="s">
        <v>822</v>
      </c>
      <c r="E51" s="0" t="n">
        <v>2014</v>
      </c>
      <c r="F51" s="220" t="s">
        <v>823</v>
      </c>
      <c r="G51" s="77" t="s">
        <v>755</v>
      </c>
    </row>
    <row r="52" customFormat="false" ht="15.75" hidden="false" customHeight="false" outlineLevel="0" collapsed="false">
      <c r="A52" s="0" t="n">
        <v>44</v>
      </c>
      <c r="B52" s="0" t="s">
        <v>739</v>
      </c>
      <c r="C52" s="0" t="s">
        <v>824</v>
      </c>
      <c r="D52" s="0" t="s">
        <v>825</v>
      </c>
      <c r="E52" s="0" t="n">
        <v>2013</v>
      </c>
      <c r="F52" s="220" t="s">
        <v>826</v>
      </c>
      <c r="G52" s="77" t="s">
        <v>755</v>
      </c>
    </row>
    <row r="53" customFormat="false" ht="15.75" hidden="false" customHeight="false" outlineLevel="0" collapsed="false">
      <c r="A53" s="0" t="n">
        <v>45</v>
      </c>
      <c r="B53" s="0" t="s">
        <v>739</v>
      </c>
      <c r="C53" s="0" t="s">
        <v>827</v>
      </c>
      <c r="D53" s="0" t="s">
        <v>828</v>
      </c>
      <c r="E53" s="0" t="n">
        <v>2016</v>
      </c>
      <c r="F53" s="220" t="s">
        <v>829</v>
      </c>
      <c r="G53" s="77" t="s">
        <v>751</v>
      </c>
    </row>
    <row r="54" customFormat="false" ht="15.75" hidden="false" customHeight="false" outlineLevel="0" collapsed="false">
      <c r="A54" s="0" t="n">
        <v>46</v>
      </c>
      <c r="B54" s="0" t="s">
        <v>739</v>
      </c>
      <c r="C54" s="0" t="s">
        <v>830</v>
      </c>
      <c r="D54" s="0" t="s">
        <v>831</v>
      </c>
      <c r="E54" s="0" t="n">
        <v>2014</v>
      </c>
      <c r="F54" s="220" t="s">
        <v>832</v>
      </c>
      <c r="G54" s="77" t="s">
        <v>755</v>
      </c>
    </row>
    <row r="55" customFormat="false" ht="15.75" hidden="false" customHeight="false" outlineLevel="0" collapsed="false">
      <c r="A55" s="0" t="n">
        <v>47</v>
      </c>
      <c r="B55" s="0" t="s">
        <v>739</v>
      </c>
      <c r="C55" s="0" t="s">
        <v>833</v>
      </c>
      <c r="D55" s="0" t="s">
        <v>834</v>
      </c>
      <c r="E55" s="0" t="n">
        <v>2015</v>
      </c>
      <c r="F55" s="220" t="s">
        <v>835</v>
      </c>
      <c r="G55" s="77" t="s">
        <v>751</v>
      </c>
    </row>
    <row r="56" customFormat="false" ht="15.75" hidden="false" customHeight="false" outlineLevel="0" collapsed="false">
      <c r="A56" s="0" t="n">
        <v>48</v>
      </c>
      <c r="B56" s="0" t="s">
        <v>739</v>
      </c>
      <c r="C56" s="0" t="s">
        <v>836</v>
      </c>
      <c r="D56" s="0" t="s">
        <v>837</v>
      </c>
      <c r="E56" s="0" t="n">
        <v>2015</v>
      </c>
      <c r="F56" s="220" t="s">
        <v>838</v>
      </c>
      <c r="G56" s="77" t="s">
        <v>755</v>
      </c>
    </row>
    <row r="57" customFormat="false" ht="15.75" hidden="false" customHeight="false" outlineLevel="0" collapsed="false">
      <c r="A57" s="0" t="n">
        <v>49</v>
      </c>
      <c r="B57" s="0" t="s">
        <v>739</v>
      </c>
      <c r="C57" s="0" t="s">
        <v>839</v>
      </c>
      <c r="D57" s="0" t="s">
        <v>840</v>
      </c>
      <c r="E57" s="0" t="n">
        <v>2021</v>
      </c>
      <c r="F57" s="220" t="s">
        <v>841</v>
      </c>
      <c r="G57" s="77" t="s">
        <v>751</v>
      </c>
    </row>
    <row r="58" customFormat="false" ht="15.75" hidden="false" customHeight="false" outlineLevel="0" collapsed="false">
      <c r="A58" s="0" t="n">
        <v>50</v>
      </c>
      <c r="B58" s="0" t="s">
        <v>739</v>
      </c>
      <c r="C58" s="0" t="s">
        <v>842</v>
      </c>
      <c r="D58" s="0" t="s">
        <v>843</v>
      </c>
      <c r="E58" s="0" t="n">
        <v>2013</v>
      </c>
      <c r="F58" s="220" t="s">
        <v>844</v>
      </c>
      <c r="G58" s="77" t="s">
        <v>751</v>
      </c>
    </row>
    <row r="59" customFormat="false" ht="15.75" hidden="false" customHeight="false" outlineLevel="0" collapsed="false">
      <c r="A59" s="0" t="n">
        <v>51</v>
      </c>
      <c r="B59" s="0" t="s">
        <v>739</v>
      </c>
      <c r="C59" s="77" t="s">
        <v>845</v>
      </c>
      <c r="D59" s="0" t="s">
        <v>846</v>
      </c>
      <c r="E59" s="0" t="n">
        <v>2014</v>
      </c>
      <c r="F59" s="220" t="s">
        <v>847</v>
      </c>
      <c r="G59" s="77" t="s">
        <v>751</v>
      </c>
    </row>
    <row r="60" customFormat="false" ht="15.75" hidden="false" customHeight="false" outlineLevel="0" collapsed="false">
      <c r="A60" s="0" t="n">
        <v>52</v>
      </c>
      <c r="B60" s="0" t="s">
        <v>739</v>
      </c>
      <c r="C60" s="0" t="s">
        <v>848</v>
      </c>
      <c r="D60" s="0" t="s">
        <v>849</v>
      </c>
      <c r="E60" s="0" t="n">
        <v>2011</v>
      </c>
      <c r="F60" s="220" t="s">
        <v>850</v>
      </c>
      <c r="G60" s="77" t="s">
        <v>755</v>
      </c>
    </row>
    <row r="61" customFormat="false" ht="15.75" hidden="false" customHeight="false" outlineLevel="0" collapsed="false">
      <c r="A61" s="0" t="n">
        <v>53</v>
      </c>
      <c r="B61" s="0" t="s">
        <v>739</v>
      </c>
      <c r="C61" s="0" t="s">
        <v>851</v>
      </c>
      <c r="D61" s="0" t="s">
        <v>714</v>
      </c>
      <c r="E61" s="0" t="n">
        <v>2011</v>
      </c>
      <c r="F61" s="220" t="s">
        <v>852</v>
      </c>
      <c r="G61" s="77" t="s">
        <v>743</v>
      </c>
    </row>
    <row r="62" customFormat="false" ht="15.75" hidden="false" customHeight="false" outlineLevel="0" collapsed="false">
      <c r="A62" s="0" t="n">
        <v>54</v>
      </c>
      <c r="B62" s="0" t="s">
        <v>739</v>
      </c>
      <c r="C62" s="0" t="s">
        <v>853</v>
      </c>
      <c r="D62" s="0" t="s">
        <v>854</v>
      </c>
      <c r="E62" s="0" t="n">
        <v>2013</v>
      </c>
      <c r="F62" s="220" t="s">
        <v>855</v>
      </c>
      <c r="G62" s="77" t="s">
        <v>751</v>
      </c>
    </row>
    <row r="63" customFormat="false" ht="15.75" hidden="false" customHeight="false" outlineLevel="0" collapsed="false">
      <c r="A63" s="0" t="n">
        <v>55</v>
      </c>
      <c r="B63" s="0" t="s">
        <v>739</v>
      </c>
      <c r="C63" s="77" t="s">
        <v>856</v>
      </c>
      <c r="D63" s="0" t="s">
        <v>857</v>
      </c>
      <c r="E63" s="0" t="n">
        <v>2014</v>
      </c>
      <c r="F63" s="220" t="s">
        <v>858</v>
      </c>
      <c r="G63" s="77" t="s">
        <v>751</v>
      </c>
    </row>
    <row r="64" customFormat="false" ht="15.75" hidden="false" customHeight="false" outlineLevel="0" collapsed="false">
      <c r="A64" s="0" t="n">
        <v>56</v>
      </c>
      <c r="B64" s="0" t="s">
        <v>739</v>
      </c>
      <c r="C64" s="0" t="s">
        <v>859</v>
      </c>
      <c r="D64" s="0" t="s">
        <v>860</v>
      </c>
      <c r="E64" s="0" t="n">
        <v>2012</v>
      </c>
      <c r="F64" s="220" t="s">
        <v>861</v>
      </c>
      <c r="G64" s="77" t="s">
        <v>862</v>
      </c>
    </row>
    <row r="65" customFormat="false" ht="15.75" hidden="false" customHeight="false" outlineLevel="0" collapsed="false">
      <c r="A65" s="0" t="n">
        <v>57</v>
      </c>
      <c r="B65" s="0" t="s">
        <v>739</v>
      </c>
      <c r="C65" s="0" t="s">
        <v>863</v>
      </c>
      <c r="D65" s="0" t="s">
        <v>864</v>
      </c>
      <c r="E65" s="0" t="n">
        <v>2016</v>
      </c>
      <c r="F65" s="220" t="s">
        <v>865</v>
      </c>
      <c r="G65" s="77" t="s">
        <v>866</v>
      </c>
    </row>
    <row r="66" customFormat="false" ht="15.75" hidden="false" customHeight="false" outlineLevel="0" collapsed="false">
      <c r="A66" s="0" t="n">
        <v>58</v>
      </c>
      <c r="B66" s="0" t="s">
        <v>739</v>
      </c>
      <c r="C66" s="77" t="s">
        <v>867</v>
      </c>
      <c r="D66" s="0" t="s">
        <v>868</v>
      </c>
      <c r="E66" s="0" t="n">
        <v>2011</v>
      </c>
      <c r="F66" s="220" t="s">
        <v>869</v>
      </c>
      <c r="G66" s="77" t="s">
        <v>870</v>
      </c>
    </row>
    <row r="67" customFormat="false" ht="15.75" hidden="false" customHeight="false" outlineLevel="0" collapsed="false">
      <c r="A67" s="0" t="n">
        <v>59</v>
      </c>
      <c r="B67" s="0" t="s">
        <v>739</v>
      </c>
      <c r="C67" s="77" t="s">
        <v>871</v>
      </c>
      <c r="D67" s="0" t="s">
        <v>872</v>
      </c>
      <c r="E67" s="0" t="n">
        <v>2021</v>
      </c>
      <c r="F67" s="220" t="s">
        <v>873</v>
      </c>
      <c r="G67" s="77" t="s">
        <v>874</v>
      </c>
    </row>
    <row r="68" customFormat="false" ht="15.75" hidden="false" customHeight="false" outlineLevel="0" collapsed="false">
      <c r="A68" s="0" t="n">
        <v>60</v>
      </c>
      <c r="B68" s="0" t="s">
        <v>739</v>
      </c>
      <c r="C68" s="77" t="s">
        <v>875</v>
      </c>
      <c r="D68" s="0" t="s">
        <v>876</v>
      </c>
      <c r="E68" s="0" t="n">
        <v>2010</v>
      </c>
      <c r="F68" s="220" t="s">
        <v>877</v>
      </c>
      <c r="G68" s="77" t="s">
        <v>755</v>
      </c>
    </row>
    <row r="69" customFormat="false" ht="15.75" hidden="false" customHeight="false" outlineLevel="0" collapsed="false">
      <c r="B69" s="89" t="n">
        <f aca="false">COUNTIF(B9:B68,"Yes")</f>
        <v>18</v>
      </c>
      <c r="C69" s="124" t="s">
        <v>878</v>
      </c>
      <c r="F69" s="220"/>
    </row>
    <row r="70" customFormat="false" ht="15.75" hidden="false" customHeight="false" outlineLevel="0" collapsed="false">
      <c r="F70" s="220"/>
    </row>
    <row r="71" customFormat="false" ht="29.25" hidden="false" customHeight="true" outlineLevel="0" collapsed="false">
      <c r="B71" s="254"/>
      <c r="C71" s="254"/>
      <c r="D71" s="254"/>
      <c r="E71" s="254"/>
      <c r="F71" s="254"/>
      <c r="G71" s="254"/>
    </row>
    <row r="72" customFormat="false" ht="15.75" hidden="false" customHeight="false" outlineLevel="0" collapsed="false">
      <c r="A72" s="0" t="n">
        <v>1</v>
      </c>
      <c r="B72" s="0" t="s">
        <v>702</v>
      </c>
      <c r="C72" s="77" t="s">
        <v>246</v>
      </c>
      <c r="D72" s="0" t="s">
        <v>879</v>
      </c>
      <c r="E72" s="0" t="n">
        <v>2003</v>
      </c>
      <c r="F72" s="220" t="s">
        <v>248</v>
      </c>
      <c r="G72" s="77" t="s">
        <v>880</v>
      </c>
    </row>
    <row r="73" customFormat="false" ht="15.75" hidden="false" customHeight="false" outlineLevel="0" collapsed="false">
      <c r="A73" s="0" t="n">
        <v>2</v>
      </c>
      <c r="B73" s="0" t="s">
        <v>702</v>
      </c>
      <c r="C73" s="77" t="s">
        <v>415</v>
      </c>
      <c r="D73" s="0" t="s">
        <v>881</v>
      </c>
      <c r="E73" s="0" t="n">
        <v>2008</v>
      </c>
      <c r="F73" s="220" t="s">
        <v>882</v>
      </c>
      <c r="G73" s="77" t="s">
        <v>883</v>
      </c>
    </row>
    <row r="74" customFormat="false" ht="15.75" hidden="false" customHeight="false" outlineLevel="0" collapsed="false">
      <c r="A74" s="0" t="n">
        <v>3</v>
      </c>
      <c r="B74" s="0" t="s">
        <v>702</v>
      </c>
      <c r="C74" s="0" t="s">
        <v>884</v>
      </c>
      <c r="D74" s="0" t="s">
        <v>885</v>
      </c>
      <c r="E74" s="0" t="n">
        <v>2008</v>
      </c>
      <c r="F74" s="220" t="s">
        <v>237</v>
      </c>
      <c r="G74" s="77" t="s">
        <v>886</v>
      </c>
    </row>
    <row r="75" customFormat="false" ht="15.75" hidden="false" customHeight="false" outlineLevel="0" collapsed="false">
      <c r="A75" s="0" t="n">
        <v>4</v>
      </c>
      <c r="B75" s="0" t="s">
        <v>702</v>
      </c>
      <c r="C75" s="77" t="s">
        <v>887</v>
      </c>
      <c r="D75" s="0" t="s">
        <v>888</v>
      </c>
      <c r="E75" s="0" t="n">
        <v>2008</v>
      </c>
      <c r="F75" s="220" t="s">
        <v>418</v>
      </c>
      <c r="G75" s="77" t="s">
        <v>889</v>
      </c>
    </row>
    <row r="76" customFormat="false" ht="15.75" hidden="false" customHeight="false" outlineLevel="0" collapsed="false">
      <c r="A76" s="0" t="n">
        <v>5</v>
      </c>
      <c r="B76" s="205" t="s">
        <v>702</v>
      </c>
      <c r="C76" s="0" t="s">
        <v>890</v>
      </c>
      <c r="D76" s="0" t="s">
        <v>891</v>
      </c>
      <c r="E76" s="0" t="n">
        <v>2004</v>
      </c>
      <c r="F76" s="220" t="s">
        <v>172</v>
      </c>
    </row>
    <row r="77" customFormat="false" ht="15.75" hidden="false" customHeight="false" outlineLevel="0" collapsed="false">
      <c r="A77" s="0" t="n">
        <v>6</v>
      </c>
      <c r="B77" s="0" t="s">
        <v>702</v>
      </c>
      <c r="C77" s="0" t="s">
        <v>408</v>
      </c>
      <c r="D77" s="0" t="s">
        <v>892</v>
      </c>
      <c r="E77" s="0" t="n">
        <v>2011</v>
      </c>
      <c r="F77" s="220" t="s">
        <v>409</v>
      </c>
    </row>
    <row r="78" customFormat="false" ht="15.75" hidden="false" customHeight="false" outlineLevel="0" collapsed="false">
      <c r="A78" s="0" t="n">
        <v>7</v>
      </c>
      <c r="B78" s="0" t="s">
        <v>702</v>
      </c>
      <c r="C78" s="0" t="s">
        <v>893</v>
      </c>
      <c r="D78" s="0" t="s">
        <v>894</v>
      </c>
      <c r="E78" s="0" t="n">
        <v>2002</v>
      </c>
      <c r="F78" s="220" t="s">
        <v>221</v>
      </c>
    </row>
    <row r="79" customFormat="false" ht="15.75" hidden="false" customHeight="false" outlineLevel="0" collapsed="false">
      <c r="A79" s="0" t="n">
        <v>8</v>
      </c>
      <c r="B79" s="0" t="s">
        <v>702</v>
      </c>
      <c r="C79" s="0" t="s">
        <v>223</v>
      </c>
      <c r="D79" s="0" t="s">
        <v>895</v>
      </c>
      <c r="E79" s="0" t="n">
        <v>2003</v>
      </c>
      <c r="F79" s="220" t="s">
        <v>225</v>
      </c>
    </row>
    <row r="80" customFormat="false" ht="15.75" hidden="false" customHeight="false" outlineLevel="0" collapsed="false">
      <c r="A80" s="0" t="n">
        <v>9</v>
      </c>
      <c r="B80" s="0" t="s">
        <v>702</v>
      </c>
      <c r="C80" s="0" t="s">
        <v>896</v>
      </c>
      <c r="D80" s="0" t="s">
        <v>897</v>
      </c>
      <c r="E80" s="0" t="n">
        <v>2010</v>
      </c>
      <c r="F80" s="220" t="s">
        <v>253</v>
      </c>
      <c r="G80" s="77" t="s">
        <v>898</v>
      </c>
    </row>
    <row r="81" customFormat="false" ht="18.75" hidden="false" customHeight="true" outlineLevel="0" collapsed="false">
      <c r="A81" s="0" t="n">
        <v>10</v>
      </c>
      <c r="B81" s="0" t="s">
        <v>739</v>
      </c>
      <c r="C81" s="77" t="s">
        <v>899</v>
      </c>
      <c r="D81" s="0" t="s">
        <v>900</v>
      </c>
      <c r="E81" s="0" t="n">
        <v>2003</v>
      </c>
      <c r="F81" s="220" t="s">
        <v>901</v>
      </c>
      <c r="G81" s="77" t="s">
        <v>902</v>
      </c>
    </row>
    <row r="82" customFormat="false" ht="15.75" hidden="false" customHeight="false" outlineLevel="0" collapsed="false">
      <c r="A82" s="0" t="n">
        <v>11</v>
      </c>
      <c r="B82" s="0" t="s">
        <v>739</v>
      </c>
      <c r="C82" s="0" t="s">
        <v>903</v>
      </c>
      <c r="D82" s="0" t="s">
        <v>904</v>
      </c>
      <c r="E82" s="0" t="n">
        <v>2004</v>
      </c>
      <c r="F82" s="220" t="s">
        <v>905</v>
      </c>
      <c r="G82" s="77" t="s">
        <v>755</v>
      </c>
    </row>
    <row r="83" customFormat="false" ht="15.75" hidden="false" customHeight="false" outlineLevel="0" collapsed="false">
      <c r="A83" s="0" t="n">
        <v>12</v>
      </c>
      <c r="B83" s="0" t="s">
        <v>739</v>
      </c>
      <c r="C83" s="0" t="s">
        <v>906</v>
      </c>
      <c r="D83" s="0" t="s">
        <v>907</v>
      </c>
      <c r="E83" s="0" t="n">
        <v>2008</v>
      </c>
      <c r="F83" s="220" t="s">
        <v>908</v>
      </c>
      <c r="G83" s="77" t="s">
        <v>755</v>
      </c>
    </row>
    <row r="84" customFormat="false" ht="15.75" hidden="false" customHeight="false" outlineLevel="0" collapsed="false">
      <c r="A84" s="0" t="n">
        <v>13</v>
      </c>
      <c r="B84" s="0" t="s">
        <v>739</v>
      </c>
      <c r="C84" s="0" t="s">
        <v>909</v>
      </c>
      <c r="D84" s="0" t="s">
        <v>849</v>
      </c>
      <c r="E84" s="0" t="n">
        <v>2004</v>
      </c>
      <c r="F84" s="220" t="s">
        <v>910</v>
      </c>
      <c r="G84" s="77" t="s">
        <v>911</v>
      </c>
    </row>
    <row r="85" customFormat="false" ht="15.75" hidden="false" customHeight="false" outlineLevel="0" collapsed="false">
      <c r="A85" s="0" t="n">
        <v>14</v>
      </c>
      <c r="B85" s="0" t="s">
        <v>739</v>
      </c>
      <c r="C85" s="0" t="s">
        <v>912</v>
      </c>
      <c r="D85" s="222" t="s">
        <v>913</v>
      </c>
      <c r="E85" s="0" t="n">
        <v>2001</v>
      </c>
      <c r="F85" s="0" t="s">
        <v>914</v>
      </c>
      <c r="G85" s="77" t="s">
        <v>915</v>
      </c>
    </row>
    <row r="86" customFormat="false" ht="15.75" hidden="false" customHeight="false" outlineLevel="0" collapsed="false">
      <c r="A86" s="0" t="n">
        <v>15</v>
      </c>
      <c r="B86" s="0" t="s">
        <v>739</v>
      </c>
      <c r="C86" s="0" t="s">
        <v>916</v>
      </c>
      <c r="D86" s="0" t="s">
        <v>917</v>
      </c>
      <c r="E86" s="0" t="n">
        <v>2009</v>
      </c>
      <c r="F86" s="220" t="s">
        <v>918</v>
      </c>
      <c r="G86" s="77" t="s">
        <v>751</v>
      </c>
    </row>
    <row r="87" customFormat="false" ht="15.75" hidden="false" customHeight="false" outlineLevel="0" collapsed="false">
      <c r="A87" s="0" t="n">
        <v>16</v>
      </c>
      <c r="B87" s="0" t="s">
        <v>739</v>
      </c>
      <c r="C87" s="77" t="s">
        <v>919</v>
      </c>
      <c r="D87" s="0" t="s">
        <v>920</v>
      </c>
      <c r="E87" s="0" t="n">
        <v>2004</v>
      </c>
      <c r="F87" s="220" t="s">
        <v>921</v>
      </c>
      <c r="G87" s="77" t="s">
        <v>922</v>
      </c>
    </row>
    <row r="88" customFormat="false" ht="15.75" hidden="false" customHeight="false" outlineLevel="0" collapsed="false">
      <c r="A88" s="0" t="n">
        <v>17</v>
      </c>
      <c r="B88" s="0" t="s">
        <v>739</v>
      </c>
      <c r="C88" s="77" t="s">
        <v>923</v>
      </c>
      <c r="D88" s="0" t="s">
        <v>924</v>
      </c>
      <c r="E88" s="0" t="n">
        <v>2008</v>
      </c>
      <c r="F88" s="220" t="s">
        <v>196</v>
      </c>
      <c r="G88" s="77" t="s">
        <v>755</v>
      </c>
    </row>
    <row r="89" customFormat="false" ht="15.75" hidden="false" customHeight="false" outlineLevel="0" collapsed="false">
      <c r="A89" s="0" t="n">
        <v>18</v>
      </c>
      <c r="B89" s="0" t="s">
        <v>739</v>
      </c>
      <c r="C89" s="0" t="s">
        <v>925</v>
      </c>
      <c r="D89" s="0" t="s">
        <v>849</v>
      </c>
      <c r="E89" s="0" t="n">
        <v>2003</v>
      </c>
      <c r="F89" s="220" t="s">
        <v>926</v>
      </c>
      <c r="G89" s="77" t="s">
        <v>927</v>
      </c>
    </row>
    <row r="90" customFormat="false" ht="15.75" hidden="false" customHeight="false" outlineLevel="0" collapsed="false">
      <c r="A90" s="0" t="n">
        <v>19</v>
      </c>
      <c r="B90" s="0" t="s">
        <v>739</v>
      </c>
      <c r="C90" s="77" t="s">
        <v>928</v>
      </c>
      <c r="D90" s="0" t="s">
        <v>849</v>
      </c>
      <c r="E90" s="0" t="n">
        <v>2004</v>
      </c>
      <c r="F90" s="220" t="s">
        <v>929</v>
      </c>
      <c r="G90" s="77" t="s">
        <v>930</v>
      </c>
    </row>
    <row r="91" customFormat="false" ht="15.75" hidden="false" customHeight="false" outlineLevel="0" collapsed="false">
      <c r="A91" s="0" t="n">
        <v>20</v>
      </c>
      <c r="B91" s="0" t="s">
        <v>739</v>
      </c>
      <c r="C91" s="222" t="s">
        <v>931</v>
      </c>
      <c r="D91" s="0" t="s">
        <v>932</v>
      </c>
      <c r="E91" s="0" t="n">
        <v>2010</v>
      </c>
      <c r="F91" s="220" t="s">
        <v>933</v>
      </c>
      <c r="G91" s="77" t="s">
        <v>934</v>
      </c>
    </row>
    <row r="92" customFormat="false" ht="15.75" hidden="false" customHeight="false" outlineLevel="0" collapsed="false">
      <c r="A92" s="0" t="n">
        <v>21</v>
      </c>
      <c r="B92" s="0" t="s">
        <v>739</v>
      </c>
      <c r="C92" s="0" t="s">
        <v>935</v>
      </c>
      <c r="D92" s="0" t="s">
        <v>936</v>
      </c>
      <c r="E92" s="0" t="n">
        <v>2010</v>
      </c>
      <c r="F92" s="220" t="s">
        <v>937</v>
      </c>
      <c r="G92" s="77" t="s">
        <v>938</v>
      </c>
    </row>
    <row r="93" customFormat="false" ht="31.5" hidden="false" customHeight="false" outlineLevel="0" collapsed="false">
      <c r="A93" s="0" t="n">
        <v>22</v>
      </c>
      <c r="B93" s="0" t="s">
        <v>739</v>
      </c>
      <c r="C93" s="0" t="s">
        <v>939</v>
      </c>
      <c r="D93" s="0" t="s">
        <v>940</v>
      </c>
      <c r="E93" s="0" t="n">
        <v>2004</v>
      </c>
      <c r="F93" s="220" t="s">
        <v>941</v>
      </c>
      <c r="G93" s="77" t="s">
        <v>942</v>
      </c>
    </row>
    <row r="94" customFormat="false" ht="15.75" hidden="false" customHeight="false" outlineLevel="0" collapsed="false">
      <c r="A94" s="0" t="n">
        <v>23</v>
      </c>
      <c r="B94" s="0" t="s">
        <v>739</v>
      </c>
      <c r="C94" s="0" t="s">
        <v>943</v>
      </c>
      <c r="D94" s="0" t="s">
        <v>714</v>
      </c>
      <c r="E94" s="0" t="n">
        <v>2006</v>
      </c>
      <c r="F94" s="220" t="s">
        <v>944</v>
      </c>
      <c r="G94" s="77" t="s">
        <v>743</v>
      </c>
    </row>
    <row r="95" customFormat="false" ht="15.75" hidden="false" customHeight="false" outlineLevel="0" collapsed="false">
      <c r="A95" s="0" t="n">
        <v>24</v>
      </c>
      <c r="B95" s="0" t="s">
        <v>739</v>
      </c>
      <c r="C95" s="0" t="s">
        <v>945</v>
      </c>
      <c r="D95" s="0" t="s">
        <v>714</v>
      </c>
      <c r="E95" s="0" t="n">
        <v>2009</v>
      </c>
      <c r="F95" s="220" t="s">
        <v>946</v>
      </c>
      <c r="G95" s="77" t="s">
        <v>743</v>
      </c>
    </row>
    <row r="96" customFormat="false" ht="15.75" hidden="false" customHeight="false" outlineLevel="0" collapsed="false">
      <c r="A96" s="0" t="n">
        <v>25</v>
      </c>
      <c r="B96" s="0" t="s">
        <v>739</v>
      </c>
      <c r="C96" s="0" t="s">
        <v>947</v>
      </c>
      <c r="D96" s="0" t="s">
        <v>948</v>
      </c>
      <c r="E96" s="0" t="n">
        <v>2004</v>
      </c>
      <c r="F96" s="220" t="s">
        <v>949</v>
      </c>
      <c r="G96" s="77" t="s">
        <v>751</v>
      </c>
    </row>
    <row r="97" customFormat="false" ht="15.75" hidden="false" customHeight="false" outlineLevel="0" collapsed="false">
      <c r="A97" s="0" t="n">
        <v>26</v>
      </c>
      <c r="B97" s="0" t="s">
        <v>739</v>
      </c>
      <c r="C97" s="77" t="s">
        <v>950</v>
      </c>
      <c r="D97" s="0" t="s">
        <v>951</v>
      </c>
      <c r="E97" s="0" t="n">
        <v>2001</v>
      </c>
      <c r="F97" s="220" t="s">
        <v>952</v>
      </c>
      <c r="G97" s="77" t="s">
        <v>751</v>
      </c>
    </row>
    <row r="98" customFormat="false" ht="15.75" hidden="false" customHeight="false" outlineLevel="0" collapsed="false">
      <c r="A98" s="0" t="n">
        <v>27</v>
      </c>
      <c r="B98" s="0" t="s">
        <v>739</v>
      </c>
      <c r="C98" s="77" t="s">
        <v>953</v>
      </c>
      <c r="D98" s="222" t="s">
        <v>954</v>
      </c>
      <c r="E98" s="0" t="n">
        <v>2004</v>
      </c>
      <c r="F98" s="220" t="s">
        <v>955</v>
      </c>
      <c r="G98" s="77" t="s">
        <v>751</v>
      </c>
    </row>
    <row r="99" customFormat="false" ht="15.75" hidden="false" customHeight="false" outlineLevel="0" collapsed="false">
      <c r="A99" s="0" t="n">
        <v>28</v>
      </c>
      <c r="B99" s="0" t="s">
        <v>739</v>
      </c>
      <c r="C99" s="77" t="s">
        <v>956</v>
      </c>
      <c r="D99" s="0" t="s">
        <v>957</v>
      </c>
      <c r="E99" s="0" t="n">
        <v>2004</v>
      </c>
      <c r="F99" s="220" t="s">
        <v>958</v>
      </c>
      <c r="G99" s="77" t="s">
        <v>751</v>
      </c>
    </row>
    <row r="100" customFormat="false" ht="15.75" hidden="false" customHeight="false" outlineLevel="0" collapsed="false">
      <c r="A100" s="0" t="n">
        <v>29</v>
      </c>
      <c r="B100" s="0" t="s">
        <v>739</v>
      </c>
      <c r="C100" s="77" t="s">
        <v>959</v>
      </c>
      <c r="D100" s="0" t="s">
        <v>960</v>
      </c>
      <c r="E100" s="0" t="n">
        <v>2004</v>
      </c>
      <c r="F100" s="220" t="s">
        <v>961</v>
      </c>
      <c r="G100" s="77" t="s">
        <v>755</v>
      </c>
    </row>
    <row r="101" customFormat="false" ht="15.75" hidden="false" customHeight="false" outlineLevel="0" collapsed="false">
      <c r="A101" s="0" t="n">
        <v>30</v>
      </c>
      <c r="B101" s="0" t="s">
        <v>739</v>
      </c>
      <c r="C101" s="0" t="s">
        <v>962</v>
      </c>
      <c r="D101" s="0" t="s">
        <v>963</v>
      </c>
      <c r="E101" s="0" t="n">
        <v>2006</v>
      </c>
      <c r="F101" s="220" t="s">
        <v>964</v>
      </c>
      <c r="G101" s="77" t="s">
        <v>751</v>
      </c>
    </row>
    <row r="102" customFormat="false" ht="15.75" hidden="false" customHeight="false" outlineLevel="0" collapsed="false">
      <c r="A102" s="0" t="n">
        <v>31</v>
      </c>
      <c r="B102" s="0" t="s">
        <v>739</v>
      </c>
      <c r="C102" s="77" t="s">
        <v>965</v>
      </c>
      <c r="D102" s="0" t="s">
        <v>966</v>
      </c>
      <c r="E102" s="0" t="n">
        <v>1990</v>
      </c>
      <c r="F102" s="220" t="s">
        <v>967</v>
      </c>
      <c r="G102" s="77" t="s">
        <v>755</v>
      </c>
    </row>
    <row r="103" customFormat="false" ht="15.75" hidden="false" customHeight="false" outlineLevel="0" collapsed="false">
      <c r="A103" s="0" t="n">
        <v>32</v>
      </c>
      <c r="B103" s="0" t="s">
        <v>739</v>
      </c>
      <c r="C103" s="77" t="s">
        <v>968</v>
      </c>
      <c r="D103" s="0" t="s">
        <v>969</v>
      </c>
      <c r="E103" s="0" t="n">
        <v>2009</v>
      </c>
      <c r="F103" s="220" t="s">
        <v>970</v>
      </c>
      <c r="G103" s="77" t="s">
        <v>971</v>
      </c>
    </row>
    <row r="104" customFormat="false" ht="15.75" hidden="false" customHeight="false" outlineLevel="0" collapsed="false">
      <c r="A104" s="0" t="n">
        <v>33</v>
      </c>
      <c r="B104" s="0" t="s">
        <v>739</v>
      </c>
      <c r="C104" s="77" t="s">
        <v>972</v>
      </c>
      <c r="D104" s="0" t="s">
        <v>973</v>
      </c>
      <c r="E104" s="0" t="n">
        <v>2009</v>
      </c>
      <c r="F104" s="220" t="s">
        <v>974</v>
      </c>
      <c r="G104" s="77" t="s">
        <v>755</v>
      </c>
    </row>
    <row r="105" customFormat="false" ht="15.75" hidden="false" customHeight="false" outlineLevel="0" collapsed="false">
      <c r="A105" s="0" t="n">
        <v>34</v>
      </c>
      <c r="B105" s="0" t="s">
        <v>739</v>
      </c>
      <c r="C105" s="77" t="s">
        <v>975</v>
      </c>
      <c r="D105" s="0" t="s">
        <v>976</v>
      </c>
      <c r="E105" s="0" t="n">
        <v>2004</v>
      </c>
      <c r="F105" s="220" t="s">
        <v>977</v>
      </c>
      <c r="G105" s="77" t="s">
        <v>978</v>
      </c>
    </row>
    <row r="106" customFormat="false" ht="15.75" hidden="false" customHeight="false" outlineLevel="0" collapsed="false">
      <c r="A106" s="0" t="n">
        <v>35</v>
      </c>
      <c r="B106" s="0" t="s">
        <v>739</v>
      </c>
      <c r="C106" s="77" t="s">
        <v>979</v>
      </c>
      <c r="D106" s="0" t="s">
        <v>980</v>
      </c>
      <c r="E106" s="0" t="n">
        <v>2003</v>
      </c>
      <c r="F106" s="220" t="s">
        <v>981</v>
      </c>
      <c r="G106" s="77" t="s">
        <v>755</v>
      </c>
    </row>
    <row r="107" customFormat="false" ht="15.75" hidden="false" customHeight="false" outlineLevel="0" collapsed="false">
      <c r="B107" s="89" t="n">
        <f aca="false">COUNTIF(B72:B105,"Yes")</f>
        <v>9</v>
      </c>
      <c r="C107" s="124" t="s">
        <v>878</v>
      </c>
      <c r="F107" s="220"/>
    </row>
    <row r="108" s="257" customFormat="true" ht="8.25" hidden="false" customHeight="true" outlineLevel="0" collapsed="false">
      <c r="G108" s="258"/>
    </row>
    <row r="109" customFormat="false" ht="15.75" hidden="false" customHeight="false" outlineLevel="0" collapsed="false">
      <c r="B109" s="89" t="n">
        <f aca="false">A68+A106</f>
        <v>95</v>
      </c>
      <c r="C109" s="89" t="s">
        <v>982</v>
      </c>
    </row>
    <row r="110" customFormat="false" ht="15.75" hidden="false" customHeight="false" outlineLevel="0" collapsed="false">
      <c r="C110" s="89"/>
    </row>
    <row r="114" customFormat="false" ht="15.75" hidden="false" customHeight="false" outlineLevel="0" collapsed="false">
      <c r="F114" s="220"/>
    </row>
    <row r="120" customFormat="false" ht="15.75" hidden="false" customHeight="false" outlineLevel="0" collapsed="false">
      <c r="C120" s="77"/>
    </row>
  </sheetData>
  <mergeCells count="2">
    <mergeCell ref="B8:G8"/>
    <mergeCell ref="B71:G71"/>
  </mergeCells>
  <conditionalFormatting sqref="B72:B75 B1:B7 B110:B1048576 B77:B108 B9:B70">
    <cfRule type="containsText" priority="2" operator="containsText" aboveAverage="0" equalAverage="0" bottom="0" percent="0" rank="0" text="Yes" dxfId="3">
      <formula>NOT(ISERROR(SEARCH("Yes",B1)))</formula>
    </cfRule>
  </conditionalFormatting>
  <conditionalFormatting sqref="B72:B75 B1:B7 B110:B1048576 B77:B108 B9:B70">
    <cfRule type="containsText" priority="3" operator="containsText" aboveAverage="0" equalAverage="0" bottom="0" percent="0" rank="0" text="No" dxfId="4">
      <formula>NOT(ISERROR(SEARCH("No",B1)))</formula>
    </cfRule>
  </conditionalFormatting>
  <conditionalFormatting sqref="B76">
    <cfRule type="containsText" priority="4" operator="containsText" aboveAverage="0" equalAverage="0" bottom="0" percent="0" rank="0" text="Yes" dxfId="5">
      <formula>NOT(ISERROR(SEARCH("Yes",B76)))</formula>
    </cfRule>
  </conditionalFormatting>
  <conditionalFormatting sqref="B76">
    <cfRule type="containsText" priority="5" operator="containsText" aboveAverage="0" equalAverage="0" bottom="0" percent="0" rank="0" text="No" dxfId="6">
      <formula>NOT(ISERROR(SEARCH("No",B76)))</formula>
    </cfRule>
  </conditionalFormatting>
  <hyperlinks>
    <hyperlink ref="F9" r:id="rId1" display="https://doi.org/10.1109/IGCC.2017.8323572"/>
    <hyperlink ref="F10" r:id="rId2" display="http://hdl.handle.net/2429/47025"/>
    <hyperlink ref="F11" r:id="rId3" display="https://doi.org/10.1109/IEDM13553.2020.9372004"/>
    <hyperlink ref="F12" r:id="rId4" display="https://doi.org/10.3390/challe8020021"/>
    <hyperlink ref="F13" r:id="rId5" display="https://doi.org/10.1007/s11367-011-0351-1 "/>
    <hyperlink ref="F14" r:id="rId6" display="https://doi.org/10.1007/978-1-4419-9988-7"/>
    <hyperlink ref="F15" r:id="rId7" display="https://www.mpedram.com/Papers/lifecycle-inventory-analysis-finfet-issst14.pdf"/>
    <hyperlink ref="F16" r:id="rId8" display="https://doi.org/10.1109/ISSCC.2012.6177104"/>
    <hyperlink ref="F17" r:id="rId9" display="https://doi.org/10.1016/j.segan.2020.100408"/>
    <hyperlink ref="F18" r:id="rId10" display="https://doi.org/10.1109/MCE.2015.2484639"/>
    <hyperlink ref="F19" r:id="rId11" display="https://www.fairphone.com/wp-content/uploads/2016/11/Fairphone_2_LCA_Final_20161122.pdf "/>
    <hyperlink ref="F20" r:id="rId12" display="https://www.fairphone.com/wp-content/uploads/2020/07/Fairphone_3_LCA.pdf "/>
    <hyperlink ref="F21" r:id="rId13" display="https://doi.org/10.3390/challe5020409 "/>
    <hyperlink ref="F22" r:id="rId14" display="https://dx.doi.org/10.2991/ict4s-16.2016.15"/>
    <hyperlink ref="F23" r:id="rId15" display="https://doi.org/10.1109/FTFC.2013.6577767"/>
    <hyperlink ref="F24" r:id="rId16" display="https://doi.org/10.1109/ICCAD.2013.6691120"/>
    <hyperlink ref="F25" r:id="rId17" display="https://www.umweltbundesamt.de/sites/default/files/medien/378/publikationen/texte_82_2013_janssen_informationstechnik_teil_c.pdf"/>
    <hyperlink ref="F26" r:id="rId18" display="https://doi.org/10.1109/ISSST.2011.5936883"/>
    <hyperlink ref="F27" r:id="rId19" display="https://doi.org/10.1007/978-1-4419-9988-7_7"/>
    <hyperlink ref="F28" r:id="rId20" display="https://doi.org/10.1007/s11367-011-0260-3"/>
    <hyperlink ref="F29" r:id="rId21" display="https://www.greenpeace.de/sites/default/files/publications/20161109_oeko_resource_efficency_final_full-report.pdf"/>
    <hyperlink ref="F30" r:id="rId22" display="https://doi.org/10.1016/j.jclepro.2014.08.061"/>
    <hyperlink ref="F31" r:id="rId23" display="https://doi.org/10.1109/ISSST.2012.6228013"/>
    <hyperlink ref="F32" r:id="rId24" display="https://doi.org/10.3390/nano11051085"/>
    <hyperlink ref="F33" r:id="rId25" display="https://doi.org/10.1016/j.jclepro.2020.124301"/>
    <hyperlink ref="F34" r:id="rId26" display="https://doi.org/10.1007/s13762-015-0869-z "/>
    <hyperlink ref="F35" r:id="rId27" display="https://doi.org/10.1016/j.eiar.2020.106416"/>
    <hyperlink ref="F36" r:id="rId28" display="https://doi.org/10.1016/j.jclepro.2009.10.004"/>
    <hyperlink ref="F37" r:id="rId29" display="https://doi.org/10.1021/es305325y"/>
    <hyperlink ref="F38" r:id="rId30" display="https://doi.org/10.3390/en13225998"/>
    <hyperlink ref="F39" r:id="rId31" display="https://doi.org/10.1109/ISSST.2010.5507719"/>
    <hyperlink ref="F40" r:id="rId32" display="https://doi.org/10.1088/1748-9326/5/1/014011"/>
    <hyperlink ref="F41" r:id="rId33" display="https://doi.org/10.1021/es303012r"/>
    <hyperlink ref="F42" r:id="rId34" display="https://doi.org/10.1111/jiec.13119"/>
    <hyperlink ref="F43" r:id="rId35" display="https://tel.archives-ouvertes.fr/tel-00957329"/>
    <hyperlink ref="F44" r:id="rId36" display="https://doi.org/10.1016/j.jclepro.2018.07.273 "/>
    <hyperlink ref="F45" r:id="rId37" display="https://doi.org/10.1109/HPCA51647.2021.00076"/>
    <hyperlink ref="F46" r:id="rId38" display="https://doi.org/10.3390/su11205664 "/>
    <hyperlink ref="F47" r:id="rId39" display="https://doi.org/10.1007/s11367-010-0206-1"/>
    <hyperlink ref="F48" r:id="rId40" display="https://doi.org/10.23919/PanPacific48324.2020.9059483 "/>
    <hyperlink ref="F49" r:id="rId41" display="https://doi.org/10.1016/j.envsoft.2013.12.014 "/>
    <hyperlink ref="F50" r:id="rId42" display="https://doi.org/10.1016/j.envsoft.2014.01.001 "/>
    <hyperlink ref="F51" r:id="rId43" display="https://arxiv.org/abs/1403.2798  "/>
    <hyperlink ref="F52" r:id="rId44" display="https://doi.org/10.1016/j.compind.2013.10.003"/>
    <hyperlink ref="F53" r:id="rId45" display="https://www.diva-portal.org/smash/record.jsf?pid=diva2%3A933594&amp;dswid=-2635"/>
    <hyperlink ref="F54" r:id="rId46" display="https://doi.org/10.1007/978-3-319-09228-7_10"/>
    <hyperlink ref="F55" r:id="rId47" display="https://doi.org/10.1111/jiec.12227"/>
    <hyperlink ref="F56" r:id="rId48" display="https://doi.org/10.1021/es505121p "/>
    <hyperlink ref="F57" r:id="rId49" display="https://doi.org/10.1111/jiec.13123"/>
    <hyperlink ref="F58" r:id="rId50" display="https://doi.org/10.1109/ICIEA.2013.6566380"/>
    <hyperlink ref="F59" r:id="rId51" display="https://op.europa.eu/s/vUnz"/>
    <hyperlink ref="F60" r:id="rId52" display="https://doi.org/10.1038/nature10682"/>
    <hyperlink ref="F61" r:id="rId53" display="https://doi.org/10.1109/TSM.2010.2087395 "/>
    <hyperlink ref="F62" r:id="rId54" display="https://doi.org/10.1146/annurev-environ-010710-100408"/>
    <hyperlink ref="F63" r:id="rId55" display="https://doi.org/10.1109/TII.2014.2306771"/>
    <hyperlink ref="F64" r:id="rId56" display="https://doi.org/10.1111/j.1530-9290.2011.00431.x"/>
    <hyperlink ref="F65" r:id="rId57" display="https://doi.org/10.1109/IGCC.2016.7892605"/>
    <hyperlink ref="F66" r:id="rId58" display="https://docplayer.net/8741483-Computing-the-carbon-footprint-supply-chain-for-the-semiconductor-industry-a-learning-tool.html"/>
    <hyperlink ref="F67" r:id="rId59" display="https://www.diva-portal.org/smash/get/diva2:1540115/FULLTEXT01.pdf"/>
    <hyperlink ref="F68" r:id="rId60" display="https://doi.org/10.1109/ISSST.2010.5507691"/>
    <hyperlink ref="F72" r:id="rId61" display="https://doi.org/10.1021/es034434g"/>
    <hyperlink ref="F73" r:id="rId62" display="https://doi.org/10.1021/es071174k"/>
    <hyperlink ref="F74" r:id="rId63" display="http://hdl.handle.net/1721.1/46056"/>
    <hyperlink ref="E75" r:id="rId64" display="https://doi.org/10.1109/ISEE.2008.4562888"/>
    <hyperlink ref="F75" r:id="rId65" display="https://doi.org/10.1109/ISEE.2008.4562888"/>
    <hyperlink ref="F76" r:id="rId66" display="https://citeseerx.ist.psu.edu/viewdoc/download?doi=10.1.1.118.6922&amp;rep=rep1&amp;type=pdf"/>
    <hyperlink ref="F77" r:id="rId67" display="https://doi.org/10.1016/j.jclepro.2011.03.004"/>
    <hyperlink ref="F78" r:id="rId68" display="https://doi.org/10.1021/es025643o"/>
    <hyperlink ref="F79" r:id="rId69" display="https://doi.org/10.1016/S0360-5442(03)00008-2"/>
    <hyperlink ref="F80" r:id="rId70" display="https://doi.org/10.1021/es903297k"/>
    <hyperlink ref="F81" r:id="rId71" display="https://link.springer.com/book/10.1007/978-94-010-0033-8"/>
    <hyperlink ref="F82" r:id="rId72" display="https://doi.org/10.1007/BF02978535"/>
    <hyperlink ref="F83" r:id="rId73" display="https://doi.org/10.1109/ISEE.2008.4562886"/>
    <hyperlink ref="F84" r:id="rId74" display="https://doi.org/10.1021/es035152j"/>
    <hyperlink ref="F86" r:id="rId75" display="https://doi.org/10.1016/j.jenvman.2009.06.018"/>
    <hyperlink ref="F87" r:id="rId76" display="https://doi.org/10.1109/ISEE.2004.1299693"/>
    <hyperlink ref="F88" r:id="rId77" display="https://doi.org/10.1109/ISEE.2008.4562913"/>
    <hyperlink ref="F89" r:id="rId78" display="https://doi.org/10.1007/978-94-010-0033-8_3"/>
    <hyperlink ref="F90" r:id="rId79" display="https://doi.org/10.1109/ISEE.2004.1299692"/>
    <hyperlink ref="F91" r:id="rId80" display="https://doi.org/10.1021/es902388b"/>
    <hyperlink ref="F92" r:id="rId81" display="https://doi.org/10.1109/ISSST.2010.5507677"/>
    <hyperlink ref="F93" r:id="rId82" display="https://doi.org/10.1016/j.tsf.2004.02.049"/>
    <hyperlink ref="F94" r:id="rId83" display="https://doi.org/10.1109/ISEE.2006.1650071  "/>
    <hyperlink ref="F95" r:id="rId84" display="https://pubs.acs.org/doi/10.1021/es901514n "/>
    <hyperlink ref="F96" r:id="rId85" display="http://www.lcacenter.org/InLCA2004/papers/Schischke_K_paper.pdf"/>
    <hyperlink ref="F97" r:id="rId86" display="https://doi.org/10.1109/ISEE.2001.924517"/>
    <hyperlink ref="F98" r:id="rId87" display="https://doi.org/10.1002/ep.670220414"/>
    <hyperlink ref="F99" r:id="rId88" display="https://doi.org/10.1109/HPD.2004.1346690"/>
    <hyperlink ref="F100" r:id="rId89" display="https://doi.org/10.1109/TSM.2004.835705"/>
    <hyperlink ref="F101" r:id="rId90" display="https://doi.org/10.1109/TED.2006.884077"/>
    <hyperlink ref="F102" r:id="rId91" display="https://doi.org/10.1109/66.53188"/>
    <hyperlink ref="F103" r:id="rId92" display="https://doi.ieeecomputersociety.org/10.1109/MC.2009.209"/>
    <hyperlink ref="F104" r:id="rId93" display="https://doi.org/10.1109/ISSST.2009.5156786"/>
    <hyperlink ref="F105" r:id="rId94" display="https://doi.org/10.1109/ISEE.2004.1299707"/>
    <hyperlink ref="F106" r:id="rId95" display="https://doi.org/10.1109/ISEE.2003.1208089"/>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AD2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4" min="4" style="0" width="14"/>
    <col collapsed="false" customWidth="true" hidden="false" outlineLevel="0" max="9" min="9" style="257" width="1.26"/>
    <col collapsed="false" customWidth="true" hidden="false" outlineLevel="0" max="12" min="12" style="0" width="12.37"/>
    <col collapsed="false" customWidth="true" hidden="false" outlineLevel="0" max="17" min="17" style="257" width="1.26"/>
    <col collapsed="false" customWidth="true" hidden="false" outlineLevel="0" max="20" min="20" style="0" width="13.13"/>
    <col collapsed="false" customWidth="true" hidden="false" outlineLevel="0" max="25" min="25" style="257" width="1.26"/>
    <col collapsed="false" customWidth="true" hidden="false" outlineLevel="0" max="32" min="32" style="257" width="1.26"/>
  </cols>
  <sheetData>
    <row r="2" customFormat="false" ht="15.75" hidden="false" customHeight="false" outlineLevel="0" collapsed="false">
      <c r="B2" s="92" t="s">
        <v>508</v>
      </c>
      <c r="C2" s="220" t="s">
        <v>101</v>
      </c>
      <c r="J2" s="92" t="s">
        <v>508</v>
      </c>
      <c r="K2" s="256" t="s">
        <v>107</v>
      </c>
      <c r="R2" s="92" t="s">
        <v>508</v>
      </c>
      <c r="S2" s="220" t="s">
        <v>111</v>
      </c>
      <c r="Z2" s="92" t="s">
        <v>508</v>
      </c>
      <c r="AA2" s="220" t="s">
        <v>813</v>
      </c>
    </row>
    <row r="3" customFormat="false" ht="15.75" hidden="false" customHeight="false" outlineLevel="0" collapsed="false">
      <c r="C3" s="0" t="s">
        <v>983</v>
      </c>
    </row>
    <row r="4" customFormat="false" ht="21" hidden="false" customHeight="false" outlineLevel="0" collapsed="false">
      <c r="B4" s="259" t="s">
        <v>984</v>
      </c>
      <c r="C4" s="259"/>
      <c r="D4" s="259"/>
      <c r="J4" s="259" t="s">
        <v>984</v>
      </c>
      <c r="K4" s="259"/>
      <c r="L4" s="259"/>
      <c r="R4" s="259" t="s">
        <v>984</v>
      </c>
      <c r="S4" s="259"/>
      <c r="T4" s="259"/>
      <c r="Z4" s="259" t="s">
        <v>984</v>
      </c>
      <c r="AA4" s="259"/>
      <c r="AB4" s="259"/>
    </row>
    <row r="5" customFormat="false" ht="15.75" hidden="false" customHeight="false" outlineLevel="0" collapsed="false">
      <c r="C5" s="111"/>
      <c r="D5" s="260" t="s">
        <v>551</v>
      </c>
      <c r="K5" s="111"/>
      <c r="L5" s="260" t="s">
        <v>551</v>
      </c>
      <c r="S5" s="111"/>
      <c r="T5" s="260" t="s">
        <v>551</v>
      </c>
    </row>
    <row r="6" customFormat="false" ht="15.75" hidden="false" customHeight="false" outlineLevel="0" collapsed="false">
      <c r="B6" s="0" t="s">
        <v>985</v>
      </c>
      <c r="D6" s="115" t="n">
        <v>2.2</v>
      </c>
      <c r="J6" s="0" t="s">
        <v>985</v>
      </c>
      <c r="L6" s="115" t="n">
        <v>2.17</v>
      </c>
      <c r="T6" s="0" t="n">
        <f aca="false">0.0202*100+0.142</f>
        <v>2.162</v>
      </c>
    </row>
    <row r="16" customFormat="false" ht="15.75" hidden="false" customHeight="true" outlineLevel="0" collapsed="false">
      <c r="Z16" s="261" t="s">
        <v>986</v>
      </c>
      <c r="AA16" s="261"/>
      <c r="AB16" s="261"/>
      <c r="AC16" s="261"/>
      <c r="AD16" s="261"/>
    </row>
    <row r="17" customFormat="false" ht="15.75" hidden="false" customHeight="false" outlineLevel="0" collapsed="false">
      <c r="Z17" s="261"/>
      <c r="AA17" s="261"/>
      <c r="AB17" s="261"/>
      <c r="AC17" s="261"/>
      <c r="AD17" s="261"/>
    </row>
    <row r="18" customFormat="false" ht="15.75" hidden="false" customHeight="false" outlineLevel="0" collapsed="false">
      <c r="Z18" s="261"/>
      <c r="AA18" s="261"/>
      <c r="AB18" s="261"/>
      <c r="AC18" s="261"/>
      <c r="AD18" s="261"/>
    </row>
    <row r="19" customFormat="false" ht="15.75" hidden="false" customHeight="false" outlineLevel="0" collapsed="false">
      <c r="Z19" s="261"/>
      <c r="AA19" s="261"/>
      <c r="AB19" s="261"/>
      <c r="AC19" s="261"/>
      <c r="AD19" s="261"/>
    </row>
    <row r="20" customFormat="false" ht="15.75" hidden="false" customHeight="false" outlineLevel="0" collapsed="false">
      <c r="Z20" s="261"/>
      <c r="AA20" s="261"/>
      <c r="AB20" s="261"/>
      <c r="AC20" s="261"/>
      <c r="AD20" s="261"/>
    </row>
    <row r="24" customFormat="false" ht="15.75" hidden="false" customHeight="false" outlineLevel="0" collapsed="false">
      <c r="J24" s="108" t="s">
        <v>987</v>
      </c>
    </row>
  </sheetData>
  <mergeCells count="5">
    <mergeCell ref="B4:D4"/>
    <mergeCell ref="J4:L4"/>
    <mergeCell ref="R4:T4"/>
    <mergeCell ref="Z4:AB4"/>
    <mergeCell ref="Z16:AD20"/>
  </mergeCells>
  <hyperlinks>
    <hyperlink ref="C2" r:id="rId1" display="https://doi.org/10.1109/MCE.2015.2484639"/>
    <hyperlink ref="K2" r:id="rId2" display="https://doi.org/10.3390/challe5020409 "/>
    <hyperlink ref="S2" r:id="rId3" display="https://doi.org/10.3390/challe8020021 "/>
    <hyperlink ref="AA2" r:id="rId4" display="https://doi.org/10.23919/PanPacific48324.2020.9059483 "/>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5"/>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P95"/>
  <sheetViews>
    <sheetView showFormulas="false" showGridLines="true" showRowColHeaders="true" showZeros="true" rightToLeft="false" tabSelected="false" showOutlineSymbols="true" defaultGridColor="true" view="normal" topLeftCell="A11" colorId="64" zoomScale="100" zoomScaleNormal="100" zoomScalePageLayoutView="100" workbookViewId="0">
      <selection pane="topLeft" activeCell="R13" activeCellId="0" sqref="R13"/>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2" min="2" style="0" width="81.63"/>
    <col collapsed="false" customWidth="true" hidden="false" outlineLevel="0" max="5" min="3" style="0" width="15.63"/>
    <col collapsed="false" customWidth="true" hidden="false" outlineLevel="0" max="6" min="6" style="0" width="15.5"/>
    <col collapsed="false" customWidth="true" hidden="false" outlineLevel="0" max="7" min="7" style="0" width="15.63"/>
    <col collapsed="false" customWidth="true" hidden="false" outlineLevel="0" max="12" min="12" style="0" width="18"/>
    <col collapsed="false" customWidth="true" hidden="false" outlineLevel="0" max="14" min="14" style="257" width="1.26"/>
  </cols>
  <sheetData>
    <row r="2" customFormat="false" ht="15.75" hidden="false" customHeight="false" outlineLevel="0" collapsed="false">
      <c r="B2" s="92" t="s">
        <v>508</v>
      </c>
      <c r="C2" s="220" t="s">
        <v>988</v>
      </c>
    </row>
    <row r="3" customFormat="false" ht="15.75" hidden="false" customHeight="false" outlineLevel="0" collapsed="false">
      <c r="C3" s="0" t="s">
        <v>989</v>
      </c>
    </row>
    <row r="4" customFormat="false" ht="59.25" hidden="false" customHeight="true" outlineLevel="0" collapsed="false">
      <c r="B4" s="259" t="s">
        <v>990</v>
      </c>
      <c r="C4" s="259"/>
      <c r="D4" s="259"/>
      <c r="E4" s="259"/>
      <c r="F4" s="259"/>
      <c r="G4" s="259"/>
      <c r="H4" s="259"/>
      <c r="I4" s="259"/>
      <c r="J4" s="259"/>
      <c r="K4" s="259"/>
      <c r="L4" s="259"/>
      <c r="M4" s="0" t="s">
        <v>991</v>
      </c>
    </row>
    <row r="5" customFormat="false" ht="15.75" hidden="false" customHeight="false" outlineLevel="0" collapsed="false">
      <c r="B5" s="89" t="s">
        <v>992</v>
      </c>
      <c r="C5" s="0" t="n">
        <v>28</v>
      </c>
      <c r="D5" s="0" t="n">
        <v>20</v>
      </c>
      <c r="E5" s="0" t="n">
        <v>14</v>
      </c>
      <c r="F5" s="0" t="n">
        <v>10</v>
      </c>
      <c r="G5" s="0" t="s">
        <v>993</v>
      </c>
      <c r="H5" s="0" t="s">
        <v>994</v>
      </c>
      <c r="I5" s="0" t="n">
        <v>6</v>
      </c>
      <c r="J5" s="0" t="n">
        <v>5</v>
      </c>
      <c r="K5" s="0" t="n">
        <v>3</v>
      </c>
      <c r="L5" s="252" t="s">
        <v>995</v>
      </c>
    </row>
    <row r="6" customFormat="false" ht="15.75" hidden="false" customHeight="false" outlineLevel="0" collapsed="false">
      <c r="B6" s="262" t="s">
        <v>996</v>
      </c>
      <c r="C6" s="263" t="n">
        <v>0.746</v>
      </c>
      <c r="D6" s="263" t="n">
        <f aca="false">0.9</f>
        <v>0.9</v>
      </c>
      <c r="E6" s="263" t="n">
        <v>0.886</v>
      </c>
      <c r="F6" s="263" t="n">
        <v>1.157</v>
      </c>
      <c r="G6" s="263" t="n">
        <f aca="false">1.289</f>
        <v>1.289</v>
      </c>
      <c r="H6" s="263" t="n">
        <v>1.637</v>
      </c>
      <c r="I6" s="263" t="n">
        <f aca="false">2.169</f>
        <v>2.169</v>
      </c>
      <c r="J6" s="263" t="n">
        <f aca="false">2.254</f>
        <v>2.254</v>
      </c>
      <c r="K6" s="263" t="n">
        <f aca="false">2.566</f>
        <v>2.566</v>
      </c>
      <c r="L6" s="264" t="s">
        <v>997</v>
      </c>
      <c r="O6" s="32"/>
    </row>
    <row r="7" customFormat="false" ht="15.75" hidden="false" customHeight="false" outlineLevel="0" collapsed="false">
      <c r="B7" s="262" t="s">
        <v>998</v>
      </c>
      <c r="C7" s="29" t="n">
        <f aca="false">0.177</f>
        <v>0.177</v>
      </c>
      <c r="D7" s="29" t="n">
        <v>0.194</v>
      </c>
      <c r="E7" s="29" t="n">
        <f aca="false">0.199</f>
        <v>0.199</v>
      </c>
      <c r="F7" s="29" t="n">
        <f aca="false">0.246</f>
        <v>0.246</v>
      </c>
      <c r="G7" s="29" t="n">
        <f aca="false">0.245</f>
        <v>0.245</v>
      </c>
      <c r="H7" s="29" t="n">
        <f aca="false">0.358</f>
        <v>0.358</v>
      </c>
      <c r="I7" s="29" t="n">
        <f aca="false">0.425</f>
        <v>0.425</v>
      </c>
      <c r="J7" s="29" t="n">
        <f aca="false">0.433</f>
        <v>0.433</v>
      </c>
      <c r="K7" s="29" t="n">
        <f aca="false">0.482</f>
        <v>0.482</v>
      </c>
      <c r="L7" s="264" t="s">
        <v>997</v>
      </c>
      <c r="O7" s="32"/>
    </row>
    <row r="8" customFormat="false" ht="15.75" hidden="false" customHeight="false" outlineLevel="0" collapsed="false">
      <c r="B8" s="265" t="s">
        <v>999</v>
      </c>
      <c r="C8" s="266" t="n">
        <f aca="false">C6+C7</f>
        <v>0.923</v>
      </c>
      <c r="D8" s="266" t="n">
        <f aca="false">D6+D7</f>
        <v>1.094</v>
      </c>
      <c r="E8" s="266" t="n">
        <f aca="false">E6+E7</f>
        <v>1.085</v>
      </c>
      <c r="F8" s="266" t="n">
        <f aca="false">F6+F7</f>
        <v>1.403</v>
      </c>
      <c r="G8" s="266" t="n">
        <f aca="false">G6+G7</f>
        <v>1.534</v>
      </c>
      <c r="H8" s="266" t="n">
        <f aca="false">H6+H7</f>
        <v>1.995</v>
      </c>
      <c r="I8" s="266" t="n">
        <f aca="false">I6+I7</f>
        <v>2.594</v>
      </c>
      <c r="J8" s="266" t="n">
        <f aca="false">J6+J7</f>
        <v>2.687</v>
      </c>
      <c r="K8" s="266" t="n">
        <f aca="false">K6+K7</f>
        <v>3.048</v>
      </c>
      <c r="L8" s="267" t="s">
        <v>997</v>
      </c>
      <c r="O8" s="32"/>
    </row>
    <row r="9" customFormat="false" ht="15.75" hidden="false" customHeight="false" outlineLevel="0" collapsed="false">
      <c r="O9" s="32"/>
    </row>
    <row r="10" customFormat="false" ht="15.75" hidden="false" customHeight="false" outlineLevel="0" collapsed="false">
      <c r="O10" s="32"/>
    </row>
    <row r="11" customFormat="false" ht="21" hidden="false" customHeight="false" outlineLevel="0" collapsed="false">
      <c r="B11" s="259" t="s">
        <v>556</v>
      </c>
      <c r="C11" s="259"/>
      <c r="D11" s="259"/>
      <c r="E11" s="259"/>
      <c r="F11" s="259"/>
      <c r="G11" s="259"/>
      <c r="H11" s="259"/>
      <c r="I11" s="259"/>
      <c r="J11" s="259"/>
      <c r="K11" s="259"/>
      <c r="L11" s="259"/>
      <c r="M11" s="0" t="s">
        <v>991</v>
      </c>
      <c r="O11" s="32"/>
    </row>
    <row r="12" customFormat="false" ht="15.75" hidden="false" customHeight="false" outlineLevel="0" collapsed="false">
      <c r="B12" s="89" t="s">
        <v>992</v>
      </c>
      <c r="C12" s="0" t="n">
        <v>28</v>
      </c>
      <c r="D12" s="0" t="n">
        <v>20</v>
      </c>
      <c r="E12" s="0" t="n">
        <v>14</v>
      </c>
      <c r="F12" s="0" t="n">
        <v>10</v>
      </c>
      <c r="G12" s="0" t="s">
        <v>993</v>
      </c>
      <c r="H12" s="0" t="s">
        <v>994</v>
      </c>
      <c r="I12" s="0" t="n">
        <v>6</v>
      </c>
      <c r="J12" s="0" t="n">
        <v>5</v>
      </c>
      <c r="K12" s="0" t="n">
        <v>3</v>
      </c>
      <c r="L12" s="252" t="s">
        <v>995</v>
      </c>
      <c r="O12" s="2"/>
      <c r="P12" s="2"/>
    </row>
    <row r="13" customFormat="false" ht="15.75" hidden="false" customHeight="false" outlineLevel="0" collapsed="false">
      <c r="B13" s="124" t="s">
        <v>1000</v>
      </c>
      <c r="C13" s="115" t="n">
        <f aca="false">0.943</f>
        <v>0.943</v>
      </c>
      <c r="D13" s="115" t="n">
        <f aca="false">1.146</f>
        <v>1.146</v>
      </c>
      <c r="E13" s="115" t="n">
        <f aca="false">1.134</f>
        <v>1.134</v>
      </c>
      <c r="F13" s="115" t="n">
        <f aca="false">1.465</f>
        <v>1.465</v>
      </c>
      <c r="G13" s="115" t="n">
        <f aca="false">1.639</f>
        <v>1.639</v>
      </c>
      <c r="H13" s="115" t="n">
        <f aca="false">2.098</f>
        <v>2.098</v>
      </c>
      <c r="I13" s="115" t="n">
        <f aca="false">2.767</f>
        <v>2.767</v>
      </c>
      <c r="J13" s="115" t="n">
        <f aca="false">2.871</f>
        <v>2.871</v>
      </c>
      <c r="K13" s="115" t="n">
        <f aca="false">3.273</f>
        <v>3.273</v>
      </c>
      <c r="L13" s="252" t="s">
        <v>1001</v>
      </c>
      <c r="O13" s="2"/>
      <c r="P13" s="2"/>
    </row>
    <row r="14" customFormat="false" ht="23.25" hidden="false" customHeight="true" outlineLevel="0" collapsed="false">
      <c r="B14" s="268" t="s">
        <v>1002</v>
      </c>
      <c r="C14" s="269" t="n">
        <f aca="false">C13*Parameters!$C$12*Parameters!$C$3</f>
        <v>8.487</v>
      </c>
      <c r="D14" s="269" t="n">
        <f aca="false">D13*Parameters!$C$12*Parameters!$C$3</f>
        <v>10.314</v>
      </c>
      <c r="E14" s="269" t="n">
        <f aca="false">E13*Parameters!$C$12*Parameters!$C$3</f>
        <v>10.206</v>
      </c>
      <c r="F14" s="269" t="n">
        <f aca="false">F13*Parameters!$C$12*Parameters!$C$3</f>
        <v>13.185</v>
      </c>
      <c r="G14" s="269" t="n">
        <f aca="false">G13*Parameters!$C$12*Parameters!$C$3</f>
        <v>14.751</v>
      </c>
      <c r="H14" s="269" t="n">
        <f aca="false">H13*Parameters!$C$12*Parameters!$C$3</f>
        <v>18.882</v>
      </c>
      <c r="I14" s="269" t="n">
        <f aca="false">I13*Parameters!$C$12*Parameters!$C$3</f>
        <v>24.903</v>
      </c>
      <c r="J14" s="269" t="n">
        <f aca="false">J13*Parameters!$C$12*Parameters!$C$3</f>
        <v>25.839</v>
      </c>
      <c r="K14" s="269" t="n">
        <f aca="false">K13*Parameters!$C$12*Parameters!$C$3</f>
        <v>29.457</v>
      </c>
      <c r="L14" s="270" t="s">
        <v>553</v>
      </c>
      <c r="O14" s="2"/>
      <c r="P14" s="2"/>
    </row>
    <row r="15" customFormat="false" ht="15.75" hidden="false" customHeight="false" outlineLevel="0" collapsed="false">
      <c r="O15" s="2"/>
      <c r="P15" s="2"/>
    </row>
    <row r="16" customFormat="false" ht="15.75" hidden="false" customHeight="false" outlineLevel="0" collapsed="false">
      <c r="O16" s="2"/>
      <c r="P16" s="2"/>
    </row>
    <row r="17" customFormat="false" ht="21" hidden="false" customHeight="false" outlineLevel="0" collapsed="false">
      <c r="B17" s="259" t="s">
        <v>557</v>
      </c>
      <c r="C17" s="259"/>
      <c r="D17" s="259"/>
      <c r="E17" s="259"/>
      <c r="F17" s="259"/>
      <c r="G17" s="259"/>
      <c r="H17" s="259"/>
      <c r="I17" s="259"/>
      <c r="J17" s="259"/>
      <c r="K17" s="259"/>
      <c r="L17" s="259"/>
      <c r="M17" s="0" t="s">
        <v>991</v>
      </c>
      <c r="O17" s="2"/>
      <c r="P17" s="2"/>
    </row>
    <row r="18" customFormat="false" ht="15.75" hidden="false" customHeight="false" outlineLevel="0" collapsed="false">
      <c r="B18" s="89" t="s">
        <v>992</v>
      </c>
      <c r="C18" s="0" t="n">
        <v>28</v>
      </c>
      <c r="D18" s="0" t="n">
        <v>20</v>
      </c>
      <c r="E18" s="0" t="n">
        <v>14</v>
      </c>
      <c r="F18" s="0" t="n">
        <v>10</v>
      </c>
      <c r="G18" s="0" t="s">
        <v>993</v>
      </c>
      <c r="H18" s="0" t="s">
        <v>994</v>
      </c>
      <c r="I18" s="0" t="n">
        <v>6</v>
      </c>
      <c r="J18" s="0" t="n">
        <v>5</v>
      </c>
      <c r="K18" s="0" t="n">
        <v>3</v>
      </c>
      <c r="L18" s="252" t="s">
        <v>995</v>
      </c>
    </row>
    <row r="19" customFormat="false" ht="15.75" hidden="false" customHeight="false" outlineLevel="0" collapsed="false">
      <c r="B19" s="268" t="s">
        <v>1003</v>
      </c>
      <c r="C19" s="269" t="n">
        <f aca="false">5.764</f>
        <v>5.764</v>
      </c>
      <c r="D19" s="269" t="n">
        <f aca="false">6.364</f>
        <v>6.364</v>
      </c>
      <c r="E19" s="269" t="n">
        <f aca="false">6.182</f>
        <v>6.182</v>
      </c>
      <c r="F19" s="269" t="n">
        <f aca="false">7.591</f>
        <v>7.591</v>
      </c>
      <c r="G19" s="269" t="n">
        <f aca="false">7.926</f>
        <v>7.926</v>
      </c>
      <c r="H19" s="269" t="n">
        <f aca="false">10.045</f>
        <v>10.045</v>
      </c>
      <c r="I19" s="269" t="n">
        <f aca="false">12.374</f>
        <v>12.374</v>
      </c>
      <c r="J19" s="269" t="n">
        <f aca="false">12.611</f>
        <v>12.611</v>
      </c>
      <c r="K19" s="269" t="n">
        <f aca="false">14.41</f>
        <v>14.41</v>
      </c>
      <c r="L19" s="270" t="s">
        <v>1004</v>
      </c>
    </row>
    <row r="25" customFormat="false" ht="15.75" hidden="false" customHeight="false" outlineLevel="0" collapsed="false">
      <c r="L25" s="0" t="s">
        <v>1005</v>
      </c>
    </row>
    <row r="26" customFormat="false" ht="15.75" hidden="false" customHeight="false" outlineLevel="0" collapsed="false">
      <c r="C26" s="0" t="s">
        <v>1006</v>
      </c>
      <c r="L26" s="0" t="s">
        <v>1007</v>
      </c>
    </row>
    <row r="27" customFormat="false" ht="15.75" hidden="false" customHeight="false" outlineLevel="0" collapsed="false">
      <c r="C27" s="0" t="s">
        <v>1008</v>
      </c>
      <c r="L27" s="0" t="s">
        <v>1009</v>
      </c>
    </row>
    <row r="28" customFormat="false" ht="15.75" hidden="false" customHeight="false" outlineLevel="0" collapsed="false">
      <c r="C28" s="0" t="s">
        <v>1010</v>
      </c>
      <c r="L28" s="0" t="s">
        <v>1011</v>
      </c>
    </row>
    <row r="29" customFormat="false" ht="15.75" hidden="false" customHeight="false" outlineLevel="0" collapsed="false">
      <c r="C29" s="0" t="s">
        <v>1012</v>
      </c>
      <c r="L29" s="0" t="s">
        <v>1013</v>
      </c>
    </row>
    <row r="30" customFormat="false" ht="15.75" hidden="false" customHeight="false" outlineLevel="0" collapsed="false">
      <c r="C30" s="0" t="s">
        <v>1014</v>
      </c>
      <c r="L30" s="0" t="s">
        <v>1015</v>
      </c>
    </row>
    <row r="31" customFormat="false" ht="15.75" hidden="false" customHeight="false" outlineLevel="0" collapsed="false">
      <c r="C31" s="0" t="s">
        <v>1016</v>
      </c>
      <c r="L31" s="0" t="s">
        <v>1017</v>
      </c>
    </row>
    <row r="32" customFormat="false" ht="15.75" hidden="false" customHeight="false" outlineLevel="0" collapsed="false">
      <c r="C32" s="0" t="s">
        <v>1018</v>
      </c>
      <c r="L32" s="0" t="s">
        <v>1019</v>
      </c>
    </row>
    <row r="33" customFormat="false" ht="15.75" hidden="false" customHeight="false" outlineLevel="0" collapsed="false">
      <c r="C33" s="0" t="s">
        <v>1020</v>
      </c>
      <c r="L33" s="0" t="s">
        <v>1021</v>
      </c>
    </row>
    <row r="34" customFormat="false" ht="15.75" hidden="false" customHeight="false" outlineLevel="0" collapsed="false">
      <c r="C34" s="0" t="s">
        <v>1022</v>
      </c>
      <c r="L34" s="0" t="s">
        <v>1023</v>
      </c>
    </row>
    <row r="35" customFormat="false" ht="15.75" hidden="false" customHeight="false" outlineLevel="0" collapsed="false">
      <c r="C35" s="0" t="s">
        <v>1024</v>
      </c>
      <c r="L35" s="0" t="s">
        <v>1025</v>
      </c>
    </row>
    <row r="36" customFormat="false" ht="15.75" hidden="false" customHeight="false" outlineLevel="0" collapsed="false">
      <c r="C36" s="0" t="s">
        <v>1026</v>
      </c>
    </row>
    <row r="54" customFormat="false" ht="15.75" hidden="false" customHeight="false" outlineLevel="0" collapsed="false">
      <c r="G54" s="0" t="s">
        <v>1027</v>
      </c>
    </row>
    <row r="55" customFormat="false" ht="15.75" hidden="false" customHeight="false" outlineLevel="0" collapsed="false">
      <c r="G55" s="0" t="s">
        <v>1028</v>
      </c>
    </row>
    <row r="56" customFormat="false" ht="15.75" hidden="false" customHeight="false" outlineLevel="0" collapsed="false">
      <c r="G56" s="0" t="s">
        <v>1029</v>
      </c>
    </row>
    <row r="57" customFormat="false" ht="15.75" hidden="false" customHeight="false" outlineLevel="0" collapsed="false">
      <c r="G57" s="0" t="s">
        <v>1030</v>
      </c>
    </row>
    <row r="58" customFormat="false" ht="15.75" hidden="false" customHeight="false" outlineLevel="0" collapsed="false">
      <c r="G58" s="0" t="s">
        <v>1031</v>
      </c>
    </row>
    <row r="59" customFormat="false" ht="15.75" hidden="false" customHeight="false" outlineLevel="0" collapsed="false">
      <c r="G59" s="0" t="s">
        <v>1032</v>
      </c>
    </row>
    <row r="60" customFormat="false" ht="15.75" hidden="false" customHeight="false" outlineLevel="0" collapsed="false">
      <c r="G60" s="0" t="s">
        <v>1033</v>
      </c>
    </row>
    <row r="61" customFormat="false" ht="15.75" hidden="false" customHeight="false" outlineLevel="0" collapsed="false">
      <c r="G61" s="0" t="s">
        <v>1034</v>
      </c>
    </row>
    <row r="62" customFormat="false" ht="15.75" hidden="false" customHeight="false" outlineLevel="0" collapsed="false">
      <c r="G62" s="0" t="s">
        <v>1035</v>
      </c>
    </row>
    <row r="63" customFormat="false" ht="15.75" hidden="false" customHeight="false" outlineLevel="0" collapsed="false">
      <c r="G63" s="0" t="s">
        <v>1036</v>
      </c>
    </row>
    <row r="64" customFormat="false" ht="15.75" hidden="false" customHeight="false" outlineLevel="0" collapsed="false">
      <c r="G64" s="0" t="s">
        <v>1037</v>
      </c>
    </row>
    <row r="65" customFormat="false" ht="15.75" hidden="false" customHeight="false" outlineLevel="0" collapsed="false">
      <c r="G65" s="0" t="s">
        <v>1038</v>
      </c>
    </row>
    <row r="66" customFormat="false" ht="15.75" hidden="false" customHeight="false" outlineLevel="0" collapsed="false">
      <c r="G66" s="0" t="s">
        <v>1039</v>
      </c>
    </row>
    <row r="67" customFormat="false" ht="15.75" hidden="false" customHeight="false" outlineLevel="0" collapsed="false">
      <c r="G67" s="0" t="s">
        <v>1040</v>
      </c>
    </row>
    <row r="85" customFormat="false" ht="15.75" hidden="false" customHeight="false" outlineLevel="0" collapsed="false">
      <c r="E85" s="0" t="s">
        <v>1041</v>
      </c>
    </row>
    <row r="86" customFormat="false" ht="15.75" hidden="false" customHeight="false" outlineLevel="0" collapsed="false">
      <c r="E86" s="0" t="s">
        <v>1042</v>
      </c>
    </row>
    <row r="87" customFormat="false" ht="15.75" hidden="false" customHeight="false" outlineLevel="0" collapsed="false">
      <c r="E87" s="0" t="s">
        <v>1043</v>
      </c>
    </row>
    <row r="88" customFormat="false" ht="15.75" hidden="false" customHeight="false" outlineLevel="0" collapsed="false">
      <c r="E88" s="0" t="s">
        <v>1044</v>
      </c>
    </row>
    <row r="89" customFormat="false" ht="15.75" hidden="false" customHeight="false" outlineLevel="0" collapsed="false">
      <c r="E89" s="0" t="s">
        <v>1045</v>
      </c>
    </row>
    <row r="90" customFormat="false" ht="15.75" hidden="false" customHeight="false" outlineLevel="0" collapsed="false">
      <c r="E90" s="0" t="s">
        <v>1046</v>
      </c>
    </row>
    <row r="91" customFormat="false" ht="15.75" hidden="false" customHeight="false" outlineLevel="0" collapsed="false">
      <c r="E91" s="0" t="s">
        <v>1047</v>
      </c>
    </row>
    <row r="92" customFormat="false" ht="15.75" hidden="false" customHeight="false" outlineLevel="0" collapsed="false">
      <c r="E92" s="0" t="s">
        <v>1048</v>
      </c>
    </row>
    <row r="93" customFormat="false" ht="15.75" hidden="false" customHeight="false" outlineLevel="0" collapsed="false">
      <c r="E93" s="0" t="s">
        <v>1049</v>
      </c>
    </row>
    <row r="94" customFormat="false" ht="15.75" hidden="false" customHeight="false" outlineLevel="0" collapsed="false">
      <c r="E94" s="0" t="s">
        <v>1050</v>
      </c>
    </row>
    <row r="95" customFormat="false" ht="15.75" hidden="false" customHeight="false" outlineLevel="0" collapsed="false">
      <c r="E95" s="0" t="s">
        <v>1051</v>
      </c>
    </row>
  </sheetData>
  <mergeCells count="3">
    <mergeCell ref="B4:L4"/>
    <mergeCell ref="B11:L11"/>
    <mergeCell ref="B17:L17"/>
  </mergeCells>
  <hyperlinks>
    <hyperlink ref="C2" r:id="rId1" display="https://doi.org/10.1109/IEDM13553.2020.9372004  "/>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W1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D6" activeCellId="0" sqref="D6"/>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5" min="5" style="0" width="25.75"/>
    <col collapsed="false" customWidth="true" hidden="false" outlineLevel="0" max="7" min="6" style="0" width="26.37"/>
    <col collapsed="false" customWidth="true" hidden="false" outlineLevel="0" max="17" min="17" style="257" width="1.26"/>
    <col collapsed="false" customWidth="true" hidden="false" outlineLevel="0" max="24" min="24" style="257" width="1.26"/>
  </cols>
  <sheetData>
    <row r="2" customFormat="false" ht="15.75" hidden="false" customHeight="false" outlineLevel="0" collapsed="false">
      <c r="B2" s="92" t="s">
        <v>508</v>
      </c>
      <c r="C2" s="220" t="s">
        <v>237</v>
      </c>
      <c r="R2" s="92" t="s">
        <v>508</v>
      </c>
      <c r="S2" s="220" t="s">
        <v>933</v>
      </c>
    </row>
    <row r="3" customFormat="false" ht="15.75" hidden="false" customHeight="false" outlineLevel="0" collapsed="false">
      <c r="C3" s="0" t="s">
        <v>1052</v>
      </c>
      <c r="S3" s="0" t="s">
        <v>1053</v>
      </c>
    </row>
    <row r="4" customFormat="false" ht="21" hidden="false" customHeight="false" outlineLevel="0" collapsed="false">
      <c r="B4" s="259" t="s">
        <v>1054</v>
      </c>
      <c r="C4" s="259"/>
      <c r="D4" s="259"/>
      <c r="I4" s="259" t="s">
        <v>1055</v>
      </c>
      <c r="J4" s="259"/>
      <c r="K4" s="259"/>
      <c r="R4" s="259" t="s">
        <v>1054</v>
      </c>
      <c r="S4" s="259"/>
      <c r="T4" s="259"/>
    </row>
    <row r="5" customFormat="false" ht="30.75" hidden="false" customHeight="true" outlineLevel="0" collapsed="false">
      <c r="C5" s="260" t="s">
        <v>1001</v>
      </c>
      <c r="D5" s="260" t="s">
        <v>553</v>
      </c>
      <c r="F5" s="271" t="s">
        <v>1056</v>
      </c>
      <c r="G5" s="271" t="s">
        <v>1057</v>
      </c>
      <c r="K5" s="260" t="s">
        <v>1004</v>
      </c>
      <c r="R5" s="272" t="s">
        <v>1058</v>
      </c>
      <c r="S5" s="272"/>
      <c r="T5" s="272"/>
      <c r="U5" s="272"/>
      <c r="V5" s="272"/>
      <c r="W5" s="272"/>
    </row>
    <row r="6" customFormat="false" ht="15.75" hidden="false" customHeight="false" outlineLevel="0" collapsed="false">
      <c r="B6" s="89" t="n">
        <v>2007</v>
      </c>
      <c r="C6" s="0" t="n">
        <v>1.53</v>
      </c>
      <c r="D6" s="115" t="n">
        <f aca="false">C6*Parameters!$C$7*Parameters!$C$12/'Deng data'!$I$11</f>
        <v>16.5903614457831</v>
      </c>
      <c r="E6" s="0" t="s">
        <v>1059</v>
      </c>
      <c r="F6" s="115" t="n">
        <f aca="false">C6*Parameters!$C$8</f>
        <v>0.72675</v>
      </c>
      <c r="G6" s="115" t="n">
        <f aca="false">F6/'Scopes ratios details'!$F$61</f>
        <v>1.0849024894127</v>
      </c>
      <c r="I6" s="89" t="n">
        <v>2008</v>
      </c>
      <c r="J6" s="0" t="s">
        <v>1060</v>
      </c>
      <c r="K6" s="0" t="n">
        <v>20</v>
      </c>
      <c r="R6" s="272"/>
      <c r="S6" s="272"/>
      <c r="T6" s="272"/>
      <c r="U6" s="272"/>
      <c r="V6" s="272"/>
      <c r="W6" s="272"/>
    </row>
    <row r="7" customFormat="false" ht="15.75" hidden="false" customHeight="false" outlineLevel="0" collapsed="false">
      <c r="B7" s="89" t="n">
        <v>2007</v>
      </c>
      <c r="C7" s="0" t="n">
        <v>1.84</v>
      </c>
      <c r="D7" s="115" t="n">
        <f aca="false">C7*Parameters!$C$7*Parameters!$C$12/'Deng data'!$I$11</f>
        <v>19.9518072289157</v>
      </c>
      <c r="F7" s="115" t="n">
        <f aca="false">C7*Parameters!$C$8</f>
        <v>0.874</v>
      </c>
      <c r="G7" s="115" t="n">
        <f aca="false">F7/'Scopes ratios details'!$F$61</f>
        <v>1.30471933367279</v>
      </c>
      <c r="I7" s="89" t="n">
        <v>2008</v>
      </c>
      <c r="J7" s="0" t="s">
        <v>1061</v>
      </c>
      <c r="K7" s="0" t="n">
        <v>40</v>
      </c>
      <c r="R7" s="272"/>
      <c r="S7" s="272"/>
      <c r="T7" s="272"/>
      <c r="U7" s="272"/>
      <c r="V7" s="272"/>
      <c r="W7" s="272"/>
    </row>
    <row r="8" customFormat="false" ht="15.75" hidden="false" customHeight="false" outlineLevel="0" collapsed="false">
      <c r="B8" s="89" t="n">
        <v>2007</v>
      </c>
      <c r="C8" s="0" t="n">
        <v>2.02</v>
      </c>
      <c r="D8" s="115" t="n">
        <f aca="false">C8*Parameters!$C$7*Parameters!$C$12/'Deng data'!$I$11</f>
        <v>21.9036144578313</v>
      </c>
      <c r="F8" s="115" t="n">
        <f aca="false">C8*Parameters!$C$8</f>
        <v>0.9595</v>
      </c>
      <c r="G8" s="115" t="n">
        <f aca="false">F8/'Scopes ratios details'!$F$61</f>
        <v>1.43235492066252</v>
      </c>
      <c r="I8" s="89" t="n">
        <v>2004</v>
      </c>
      <c r="J8" s="0" t="s">
        <v>1062</v>
      </c>
      <c r="K8" s="0" t="n">
        <v>20</v>
      </c>
    </row>
    <row r="9" customFormat="false" ht="15.75" hidden="false" customHeight="false" outlineLevel="0" collapsed="false">
      <c r="B9" s="89" t="n">
        <v>2007</v>
      </c>
      <c r="C9" s="0" t="n">
        <v>2.12</v>
      </c>
      <c r="D9" s="115" t="n">
        <f aca="false">C9*Parameters!$C$7*Parameters!$C$12/'Deng data'!$I$11</f>
        <v>22.9879518072289</v>
      </c>
      <c r="F9" s="115" t="n">
        <f aca="false">C9*Parameters!$C$8</f>
        <v>1.007</v>
      </c>
      <c r="G9" s="115" t="n">
        <f aca="false">F9/'Scopes ratios details'!$F$61</f>
        <v>1.50326358010126</v>
      </c>
      <c r="I9" s="89" t="n">
        <v>1993</v>
      </c>
      <c r="J9" s="0" t="s">
        <v>1063</v>
      </c>
      <c r="K9" s="0" t="n">
        <v>21</v>
      </c>
    </row>
    <row r="10" customFormat="false" ht="15.75" hidden="false" customHeight="false" outlineLevel="0" collapsed="false">
      <c r="B10" s="89" t="n">
        <v>2006</v>
      </c>
      <c r="C10" s="0" t="n">
        <v>2.04</v>
      </c>
      <c r="D10" s="115" t="n">
        <f aca="false">C10*Parameters!$C$7*Parameters!$C$12/'Deng data'!$I$11</f>
        <v>22.1204819277108</v>
      </c>
      <c r="F10" s="115" t="n">
        <f aca="false">C10*Parameters!$C$8</f>
        <v>0.969</v>
      </c>
      <c r="G10" s="115" t="n">
        <f aca="false">F10/'Scopes ratios details'!$F$61</f>
        <v>1.44653665255027</v>
      </c>
      <c r="I10" s="89" t="n">
        <v>1993</v>
      </c>
      <c r="J10" s="0" t="s">
        <v>1063</v>
      </c>
      <c r="K10" s="0" t="n">
        <v>60</v>
      </c>
      <c r="L10" s="108" t="s">
        <v>1064</v>
      </c>
    </row>
    <row r="11" customFormat="false" ht="15.75" hidden="false" customHeight="false" outlineLevel="0" collapsed="false">
      <c r="B11" s="89" t="n">
        <v>2006</v>
      </c>
      <c r="C11" s="0" t="n">
        <v>2.77</v>
      </c>
      <c r="D11" s="115" t="n">
        <f aca="false">C11*Parameters!$C$7*Parameters!$C$12/'Deng data'!$I$11</f>
        <v>30.0361445783133</v>
      </c>
      <c r="F11" s="115" t="n">
        <f aca="false">C11*Parameters!$C$8</f>
        <v>1.31575</v>
      </c>
      <c r="G11" s="115" t="n">
        <f aca="false">F11/'Scopes ratios details'!$F$61</f>
        <v>1.96416986645306</v>
      </c>
    </row>
    <row r="12" customFormat="false" ht="15.75" hidden="false" customHeight="false" outlineLevel="0" collapsed="false">
      <c r="B12" s="89" t="n">
        <v>2006</v>
      </c>
      <c r="C12" s="0" t="n">
        <v>2.7</v>
      </c>
      <c r="D12" s="115" t="n">
        <f aca="false">C12*Parameters!$C$7*Parameters!$C$12/'Deng data'!$I$11</f>
        <v>29.2771084337349</v>
      </c>
      <c r="F12" s="115" t="n">
        <f aca="false">C12*Parameters!$C$8</f>
        <v>1.2825</v>
      </c>
      <c r="G12" s="115" t="n">
        <f aca="false">F12/'Scopes ratios details'!$F$61</f>
        <v>1.91453380484594</v>
      </c>
    </row>
    <row r="14" customFormat="false" ht="15.75" hidden="false" customHeight="false" outlineLevel="0" collapsed="false">
      <c r="B14" s="0" t="s">
        <v>1065</v>
      </c>
    </row>
  </sheetData>
  <mergeCells count="4">
    <mergeCell ref="B4:D4"/>
    <mergeCell ref="I4:K4"/>
    <mergeCell ref="R4:T4"/>
    <mergeCell ref="R5:W7"/>
  </mergeCells>
  <hyperlinks>
    <hyperlink ref="C2" r:id="rId1" display="http://hdl.handle.net/1721.1/46056"/>
    <hyperlink ref="S2" r:id="rId2" display="https://doi.org/10.1021/es902388b"/>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Y35"/>
  <sheetViews>
    <sheetView showFormulas="false" showGridLines="true" showRowColHeaders="true" showZeros="true" rightToLeft="false" tabSelected="false" showOutlineSymbols="true" defaultGridColor="true" view="normal" topLeftCell="E8" colorId="64" zoomScale="100" zoomScaleNormal="100" zoomScalePageLayoutView="100" workbookViewId="0">
      <selection pane="topLeft" activeCell="M24" activeCellId="0" sqref="M24"/>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2" min="2" style="0" width="32.87"/>
    <col collapsed="false" customWidth="true" hidden="false" outlineLevel="0" max="5" min="3" style="0" width="15.63"/>
    <col collapsed="false" customWidth="true" hidden="false" outlineLevel="0" max="6" min="6" style="0" width="18"/>
    <col collapsed="false" customWidth="true" hidden="false" outlineLevel="0" max="8" min="8" style="257" width="1.26"/>
    <col collapsed="false" customWidth="true" hidden="false" outlineLevel="0" max="9" min="9" style="0" width="29.12"/>
    <col collapsed="false" customWidth="true" hidden="false" outlineLevel="0" max="13" min="10" style="0" width="15"/>
    <col collapsed="false" customWidth="true" hidden="false" outlineLevel="0" max="15" min="15" style="257" width="1.26"/>
    <col collapsed="false" customWidth="true" hidden="false" outlineLevel="0" max="16" min="16" style="0" width="28.75"/>
    <col collapsed="false" customWidth="true" hidden="false" outlineLevel="0" max="21" min="17" style="0" width="18.25"/>
    <col collapsed="false" customWidth="true" hidden="false" outlineLevel="0" max="24" min="24" style="257" width="1.26"/>
  </cols>
  <sheetData>
    <row r="2" customFormat="false" ht="15.75" hidden="false" customHeight="false" outlineLevel="0" collapsed="false">
      <c r="B2" s="92" t="s">
        <v>508</v>
      </c>
      <c r="C2" s="220" t="s">
        <v>130</v>
      </c>
      <c r="I2" s="92" t="s">
        <v>508</v>
      </c>
      <c r="J2" s="220" t="s">
        <v>130</v>
      </c>
      <c r="P2" s="92" t="s">
        <v>508</v>
      </c>
      <c r="Q2" s="220" t="s">
        <v>366</v>
      </c>
    </row>
    <row r="3" customFormat="false" ht="15.75" hidden="false" customHeight="false" outlineLevel="0" collapsed="false">
      <c r="C3" s="0" t="s">
        <v>1066</v>
      </c>
      <c r="J3" s="0" t="s">
        <v>1067</v>
      </c>
      <c r="Q3" s="0" t="s">
        <v>1068</v>
      </c>
    </row>
    <row r="4" customFormat="false" ht="59.25" hidden="false" customHeight="true" outlineLevel="0" collapsed="false">
      <c r="B4" s="259" t="s">
        <v>990</v>
      </c>
      <c r="C4" s="259"/>
      <c r="D4" s="259"/>
      <c r="E4" s="259"/>
      <c r="F4" s="259"/>
      <c r="I4" s="273" t="s">
        <v>1069</v>
      </c>
      <c r="J4" s="273"/>
      <c r="K4" s="273"/>
      <c r="L4" s="273"/>
      <c r="M4" s="273"/>
      <c r="P4" s="273" t="s">
        <v>556</v>
      </c>
      <c r="Q4" s="273"/>
      <c r="R4" s="273"/>
      <c r="S4" s="273"/>
      <c r="T4" s="273"/>
      <c r="U4" s="273"/>
      <c r="V4" s="273"/>
    </row>
    <row r="5" customFormat="false" ht="15.75" hidden="false" customHeight="false" outlineLevel="0" collapsed="false">
      <c r="C5" s="252" t="s">
        <v>1070</v>
      </c>
      <c r="D5" s="252" t="s">
        <v>1071</v>
      </c>
      <c r="E5" s="252" t="s">
        <v>1072</v>
      </c>
      <c r="J5" s="252" t="s">
        <v>1070</v>
      </c>
      <c r="K5" s="252" t="s">
        <v>1071</v>
      </c>
      <c r="L5" s="252" t="s">
        <v>1072</v>
      </c>
      <c r="Q5" s="252" t="s">
        <v>1073</v>
      </c>
      <c r="R5" s="252" t="s">
        <v>1074</v>
      </c>
      <c r="S5" s="252" t="s">
        <v>1075</v>
      </c>
      <c r="T5" s="252" t="s">
        <v>1076</v>
      </c>
      <c r="U5" s="252" t="s">
        <v>1077</v>
      </c>
    </row>
    <row r="6" customFormat="false" ht="15.75" hidden="false" customHeight="false" outlineLevel="0" collapsed="false">
      <c r="B6" s="89" t="s">
        <v>992</v>
      </c>
      <c r="C6" s="0" t="n">
        <v>130</v>
      </c>
      <c r="D6" s="0" t="n">
        <v>65</v>
      </c>
      <c r="E6" s="0" t="n">
        <v>65</v>
      </c>
      <c r="F6" s="252" t="s">
        <v>995</v>
      </c>
      <c r="I6" s="89" t="s">
        <v>992</v>
      </c>
      <c r="J6" s="0" t="n">
        <v>130</v>
      </c>
      <c r="K6" s="0" t="n">
        <v>65</v>
      </c>
      <c r="L6" s="0" t="n">
        <v>65</v>
      </c>
      <c r="M6" s="252" t="s">
        <v>995</v>
      </c>
      <c r="P6" s="89" t="s">
        <v>992</v>
      </c>
      <c r="Q6" s="252" t="n">
        <v>32</v>
      </c>
      <c r="R6" s="252" t="n">
        <v>32</v>
      </c>
      <c r="S6" s="252" t="n">
        <v>45</v>
      </c>
      <c r="T6" s="252" t="n">
        <v>45</v>
      </c>
      <c r="U6" s="252" t="n">
        <v>130</v>
      </c>
      <c r="V6" s="0" t="s">
        <v>995</v>
      </c>
    </row>
    <row r="7" customFormat="false" ht="31.5" hidden="false" customHeight="false" outlineLevel="0" collapsed="false">
      <c r="B7" s="262" t="s">
        <v>1078</v>
      </c>
      <c r="C7" s="29" t="n">
        <f aca="false">83/1000</f>
        <v>0.083</v>
      </c>
      <c r="D7" s="29" t="n">
        <f aca="false">47/1000</f>
        <v>0.047</v>
      </c>
      <c r="E7" s="29" t="n">
        <f aca="false">14/1000</f>
        <v>0.014</v>
      </c>
      <c r="F7" s="264" t="s">
        <v>535</v>
      </c>
      <c r="I7" s="262" t="s">
        <v>1078</v>
      </c>
      <c r="J7" s="29" t="n">
        <f aca="false">55/1000</f>
        <v>0.055</v>
      </c>
      <c r="K7" s="29" t="n">
        <f aca="false">60/1000</f>
        <v>0.06</v>
      </c>
      <c r="L7" s="29" t="n">
        <f aca="false">11/1000</f>
        <v>0.011</v>
      </c>
      <c r="M7" s="264" t="s">
        <v>535</v>
      </c>
      <c r="P7" s="0" t="s">
        <v>520</v>
      </c>
      <c r="Q7" s="110" t="s">
        <v>522</v>
      </c>
      <c r="R7" s="110" t="s">
        <v>522</v>
      </c>
      <c r="S7" s="110" t="s">
        <v>522</v>
      </c>
      <c r="T7" s="110" t="s">
        <v>522</v>
      </c>
      <c r="U7" s="110" t="s">
        <v>1079</v>
      </c>
    </row>
    <row r="8" customFormat="false" ht="31.5" hidden="false" customHeight="false" outlineLevel="0" collapsed="false">
      <c r="B8" s="262" t="s">
        <v>1080</v>
      </c>
      <c r="C8" s="29" t="n">
        <v>4.4</v>
      </c>
      <c r="D8" s="29" t="n">
        <v>4.26</v>
      </c>
      <c r="E8" s="29" t="n">
        <v>0.66</v>
      </c>
      <c r="F8" s="264" t="s">
        <v>1081</v>
      </c>
      <c r="I8" s="60" t="s">
        <v>1082</v>
      </c>
      <c r="J8" s="0" t="n">
        <f aca="false">0.87</f>
        <v>0.87</v>
      </c>
      <c r="K8" s="0" t="n">
        <f aca="false">1.06</f>
        <v>1.06</v>
      </c>
      <c r="L8" s="0" t="n">
        <f aca="false">0.195</f>
        <v>0.195</v>
      </c>
      <c r="M8" s="0" t="s">
        <v>537</v>
      </c>
      <c r="P8" s="262" t="s">
        <v>1078</v>
      </c>
      <c r="Q8" s="115" t="n">
        <f aca="false">2*43.215</f>
        <v>86.43</v>
      </c>
      <c r="R8" s="115" t="n">
        <f aca="false">7.333</f>
        <v>7.333</v>
      </c>
      <c r="S8" s="115" t="n">
        <f aca="false">5.037</f>
        <v>5.037</v>
      </c>
      <c r="T8" s="115" t="n">
        <f aca="false">6.456</f>
        <v>6.456</v>
      </c>
      <c r="U8" s="115" t="n">
        <f aca="false">0.18</f>
        <v>0.18</v>
      </c>
      <c r="V8" s="0" t="s">
        <v>1083</v>
      </c>
    </row>
    <row r="9" customFormat="false" ht="15.75" hidden="false" customHeight="false" outlineLevel="0" collapsed="false">
      <c r="B9" s="265" t="s">
        <v>1084</v>
      </c>
      <c r="C9" s="274" t="n">
        <f aca="false">C7/(C8/100)</f>
        <v>1.88636363636364</v>
      </c>
      <c r="D9" s="274" t="n">
        <f aca="false">D7/(D8/100)</f>
        <v>1.10328638497653</v>
      </c>
      <c r="E9" s="274" t="n">
        <f aca="false">E7/(E8/100)</f>
        <v>2.12121212121212</v>
      </c>
      <c r="F9" s="267" t="s">
        <v>551</v>
      </c>
      <c r="I9" s="262" t="s">
        <v>1080</v>
      </c>
      <c r="J9" s="29" t="n">
        <v>4.4</v>
      </c>
      <c r="K9" s="29" t="n">
        <v>4.26</v>
      </c>
      <c r="L9" s="29" t="n">
        <v>0.66</v>
      </c>
      <c r="M9" s="264" t="s">
        <v>1081</v>
      </c>
      <c r="P9" s="0" t="s">
        <v>1085</v>
      </c>
      <c r="Q9" s="0" t="n">
        <v>2</v>
      </c>
      <c r="R9" s="0" t="n">
        <v>3</v>
      </c>
      <c r="S9" s="0" t="n">
        <v>4</v>
      </c>
      <c r="T9" s="0" t="n">
        <v>2</v>
      </c>
      <c r="U9" s="0" t="n">
        <v>7</v>
      </c>
      <c r="V9" s="0" t="s">
        <v>1086</v>
      </c>
    </row>
    <row r="10" customFormat="false" ht="15.75" hidden="false" customHeight="false" outlineLevel="0" collapsed="false">
      <c r="I10" s="265" t="s">
        <v>1084</v>
      </c>
      <c r="J10" s="274" t="n">
        <f aca="false">J7/(J9/100)</f>
        <v>1.25</v>
      </c>
      <c r="K10" s="274" t="n">
        <f aca="false">K7/(K9/100)</f>
        <v>1.40845070422535</v>
      </c>
      <c r="L10" s="274" t="n">
        <f aca="false">L7/(L9/100)</f>
        <v>1.66666666666667</v>
      </c>
      <c r="M10" s="267" t="s">
        <v>551</v>
      </c>
      <c r="P10" s="262" t="s">
        <v>1080</v>
      </c>
      <c r="Q10" s="0" t="n">
        <v>2.4</v>
      </c>
      <c r="R10" s="0" t="n">
        <v>0.8</v>
      </c>
      <c r="S10" s="0" t="n">
        <v>0.7</v>
      </c>
      <c r="T10" s="0" t="n">
        <v>0.5</v>
      </c>
      <c r="U10" s="0" t="n">
        <v>0.1</v>
      </c>
      <c r="V10" s="0" t="s">
        <v>541</v>
      </c>
    </row>
    <row r="11" customFormat="false" ht="15.75" hidden="false" customHeight="false" outlineLevel="0" collapsed="false">
      <c r="I11" s="265" t="s">
        <v>1087</v>
      </c>
      <c r="J11" s="274" t="n">
        <f aca="false">J8/(J9/100)</f>
        <v>19.7727272727273</v>
      </c>
      <c r="K11" s="274" t="n">
        <f aca="false">K8/(K9/100)</f>
        <v>24.8826291079812</v>
      </c>
      <c r="L11" s="274" t="n">
        <f aca="false">L8/(L9/100)</f>
        <v>29.5454545454545</v>
      </c>
      <c r="M11" s="267" t="s">
        <v>553</v>
      </c>
      <c r="P11" s="265" t="s">
        <v>1087</v>
      </c>
      <c r="Q11" s="274" t="n">
        <f aca="false">Q8*Q9/Q10</f>
        <v>72.025</v>
      </c>
      <c r="R11" s="274" t="n">
        <f aca="false">R8*R9/R10</f>
        <v>27.49875</v>
      </c>
      <c r="S11" s="274" t="n">
        <f aca="false">S8*S9/S10</f>
        <v>28.7828571428571</v>
      </c>
      <c r="T11" s="274" t="n">
        <f aca="false">T8*T9/T10</f>
        <v>25.824</v>
      </c>
      <c r="U11" s="274" t="n">
        <f aca="false">U8*U9/U10</f>
        <v>12.6</v>
      </c>
      <c r="V11" s="274" t="s">
        <v>553</v>
      </c>
    </row>
    <row r="18" customFormat="false" ht="15.75" hidden="false" customHeight="false" outlineLevel="0" collapsed="false">
      <c r="X18" s="275"/>
      <c r="Y18" s="112"/>
    </row>
    <row r="19" customFormat="false" ht="15.75" hidden="false" customHeight="false" outlineLevel="0" collapsed="false">
      <c r="X19" s="275"/>
      <c r="Y19" s="112"/>
    </row>
    <row r="20" customFormat="false" ht="15.75" hidden="false" customHeight="false" outlineLevel="0" collapsed="false">
      <c r="X20" s="275"/>
      <c r="Y20" s="112"/>
    </row>
    <row r="21" customFormat="false" ht="15.75" hidden="false" customHeight="false" outlineLevel="0" collapsed="false">
      <c r="X21" s="275"/>
      <c r="Y21" s="112"/>
    </row>
    <row r="22" customFormat="false" ht="15.75" hidden="false" customHeight="false" outlineLevel="0" collapsed="false">
      <c r="U22" s="112" t="s">
        <v>1088</v>
      </c>
      <c r="W22" s="112"/>
      <c r="X22" s="275"/>
      <c r="Y22" s="112"/>
    </row>
    <row r="23" customFormat="false" ht="15.75" hidden="false" customHeight="false" outlineLevel="0" collapsed="false">
      <c r="U23" s="112" t="s">
        <v>1089</v>
      </c>
      <c r="W23" s="112"/>
    </row>
    <row r="24" customFormat="false" ht="15.75" hidden="false" customHeight="false" outlineLevel="0" collapsed="false">
      <c r="U24" s="112" t="s">
        <v>1090</v>
      </c>
      <c r="W24" s="112"/>
    </row>
    <row r="25" customFormat="false" ht="15.75" hidden="false" customHeight="false" outlineLevel="0" collapsed="false">
      <c r="U25" s="112" t="s">
        <v>1091</v>
      </c>
      <c r="W25" s="112"/>
    </row>
    <row r="26" customFormat="false" ht="15.75" hidden="false" customHeight="false" outlineLevel="0" collapsed="false">
      <c r="U26" s="112" t="s">
        <v>1092</v>
      </c>
      <c r="W26" s="112"/>
    </row>
    <row r="34" customFormat="false" ht="15.75" hidden="false" customHeight="false" outlineLevel="0" collapsed="false">
      <c r="I34" s="112" t="s">
        <v>1093</v>
      </c>
    </row>
    <row r="35" customFormat="false" ht="15.75" hidden="false" customHeight="false" outlineLevel="0" collapsed="false">
      <c r="P35" s="112" t="s">
        <v>1093</v>
      </c>
    </row>
  </sheetData>
  <mergeCells count="3">
    <mergeCell ref="B4:F4"/>
    <mergeCell ref="I4:M4"/>
    <mergeCell ref="P4:V4"/>
  </mergeCells>
  <hyperlinks>
    <hyperlink ref="C2" r:id="rId1" display="https://doi.org/10.1109/FTFC.2013.6577767"/>
    <hyperlink ref="J2" r:id="rId2" display="https://doi.org/10.1109/FTFC.2013.6577767"/>
    <hyperlink ref="Q2" r:id="rId3" display="https://doi.org/10.1109/ISSST.2011.5936883"/>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4"/>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A2:N96"/>
  <sheetViews>
    <sheetView showFormulas="false" showGridLines="true" showRowColHeaders="true" showZeros="true" rightToLeft="false" tabSelected="false" showOutlineSymbols="true" defaultGridColor="true" view="normal" topLeftCell="A50" colorId="64" zoomScale="100" zoomScaleNormal="100" zoomScalePageLayoutView="100" workbookViewId="0">
      <selection pane="topLeft" activeCell="I67" activeCellId="0" sqref="I67"/>
    </sheetView>
  </sheetViews>
  <sheetFormatPr defaultColWidth="11.015625" defaultRowHeight="15.75" zeroHeight="false" outlineLevelRow="0" outlineLevelCol="0"/>
  <cols>
    <col collapsed="false" customWidth="true" hidden="false" outlineLevel="0" max="1" min="1" style="257" width="1.26"/>
    <col collapsed="false" customWidth="true" hidden="false" outlineLevel="0" max="2" min="2" style="0" width="34.13"/>
    <col collapsed="false" customWidth="true" hidden="false" outlineLevel="0" max="8" min="3" style="0" width="11.5"/>
    <col collapsed="false" customWidth="true" hidden="false" outlineLevel="0" max="10" min="9" style="0" width="12.5"/>
    <col collapsed="false" customWidth="true" hidden="false" outlineLevel="0" max="11" min="11" style="0" width="14.26"/>
    <col collapsed="false" customWidth="true" hidden="false" outlineLevel="0" max="12" min="12" style="0" width="43.75"/>
    <col collapsed="false" customWidth="true" hidden="false" outlineLevel="0" max="14" min="14" style="257" width="1.26"/>
  </cols>
  <sheetData>
    <row r="2" customFormat="false" ht="15.75" hidden="false" customHeight="false" outlineLevel="0" collapsed="false">
      <c r="B2" s="92" t="s">
        <v>508</v>
      </c>
      <c r="C2" s="220" t="s">
        <v>1094</v>
      </c>
    </row>
    <row r="3" customFormat="false" ht="15.75" hidden="false" customHeight="false" outlineLevel="0" collapsed="false">
      <c r="C3" s="0" t="s">
        <v>1095</v>
      </c>
    </row>
    <row r="4" customFormat="false" ht="18.75" hidden="false" customHeight="true" outlineLevel="0" collapsed="false">
      <c r="B4" s="276" t="s">
        <v>1096</v>
      </c>
      <c r="C4" s="276"/>
      <c r="D4" s="276"/>
      <c r="E4" s="276"/>
      <c r="F4" s="276"/>
      <c r="G4" s="276"/>
      <c r="H4" s="276"/>
      <c r="I4" s="276"/>
      <c r="J4" s="276"/>
      <c r="K4" s="276"/>
      <c r="L4" s="0" t="s">
        <v>1097</v>
      </c>
    </row>
    <row r="5" customFormat="false" ht="18.75" hidden="false" customHeight="true" outlineLevel="0" collapsed="false">
      <c r="B5" s="276"/>
      <c r="C5" s="276"/>
      <c r="D5" s="276"/>
      <c r="E5" s="276"/>
      <c r="F5" s="276"/>
      <c r="G5" s="276"/>
      <c r="H5" s="276"/>
      <c r="I5" s="276"/>
      <c r="J5" s="276"/>
      <c r="K5" s="276"/>
    </row>
    <row r="6" customFormat="false" ht="15.75" hidden="false" customHeight="false" outlineLevel="0" collapsed="false">
      <c r="B6" s="277" t="s">
        <v>3</v>
      </c>
      <c r="C6" s="252" t="n">
        <v>1995</v>
      </c>
      <c r="D6" s="252" t="n">
        <v>1998</v>
      </c>
      <c r="E6" s="252" t="n">
        <v>1999</v>
      </c>
      <c r="F6" s="252" t="n">
        <v>2001</v>
      </c>
      <c r="G6" s="252" t="n">
        <v>2004</v>
      </c>
      <c r="H6" s="252" t="n">
        <v>2007</v>
      </c>
      <c r="I6" s="252" t="n">
        <v>2010</v>
      </c>
      <c r="J6" s="252" t="n">
        <v>2013</v>
      </c>
      <c r="K6" s="278"/>
    </row>
    <row r="7" customFormat="false" ht="15.75" hidden="false" customHeight="false" outlineLevel="0" collapsed="false">
      <c r="B7" s="277" t="s">
        <v>1098</v>
      </c>
      <c r="C7" s="0" t="n">
        <v>350</v>
      </c>
      <c r="D7" s="0" t="n">
        <v>250</v>
      </c>
      <c r="E7" s="0" t="n">
        <v>180</v>
      </c>
      <c r="F7" s="0" t="n">
        <v>130</v>
      </c>
      <c r="G7" s="0" t="n">
        <v>90</v>
      </c>
      <c r="H7" s="0" t="n">
        <v>65</v>
      </c>
      <c r="I7" s="0" t="n">
        <v>45</v>
      </c>
      <c r="J7" s="0" t="n">
        <v>32</v>
      </c>
      <c r="K7" s="278" t="s">
        <v>995</v>
      </c>
    </row>
    <row r="8" customFormat="false" ht="15.75" hidden="false" customHeight="false" outlineLevel="0" collapsed="false">
      <c r="B8" s="277" t="s">
        <v>1099</v>
      </c>
      <c r="C8" s="0" t="n">
        <v>88</v>
      </c>
      <c r="D8" s="0" t="n">
        <v>151</v>
      </c>
      <c r="E8" s="0" t="n">
        <v>187</v>
      </c>
      <c r="F8" s="0" t="n">
        <v>322</v>
      </c>
      <c r="G8" s="0" t="n">
        <v>322</v>
      </c>
      <c r="H8" s="0" t="n">
        <v>347</v>
      </c>
      <c r="I8" s="0" t="n">
        <v>347</v>
      </c>
      <c r="J8" s="0" t="n">
        <v>347</v>
      </c>
      <c r="K8" s="278"/>
    </row>
    <row r="9" customFormat="false" ht="15.75" hidden="false" customHeight="false" outlineLevel="0" collapsed="false">
      <c r="B9" s="277" t="s">
        <v>1100</v>
      </c>
      <c r="C9" s="0" t="n">
        <v>1.96</v>
      </c>
      <c r="D9" s="0" t="n">
        <v>1.5</v>
      </c>
      <c r="E9" s="0" t="n">
        <v>1.25</v>
      </c>
      <c r="F9" s="0" t="n">
        <v>1.4</v>
      </c>
      <c r="G9" s="0" t="n">
        <v>1.4</v>
      </c>
      <c r="H9" s="0" t="n">
        <v>1.4</v>
      </c>
      <c r="I9" s="0" t="n">
        <v>1.4</v>
      </c>
      <c r="J9" s="0" t="n">
        <v>1.4</v>
      </c>
      <c r="K9" s="278" t="s">
        <v>1101</v>
      </c>
    </row>
    <row r="10" customFormat="false" ht="15.75" hidden="false" customHeight="false" outlineLevel="0" collapsed="false">
      <c r="B10" s="279" t="s">
        <v>1102</v>
      </c>
      <c r="C10" s="280" t="n">
        <v>1.96</v>
      </c>
      <c r="D10" s="280" t="n">
        <v>1.5</v>
      </c>
      <c r="E10" s="280" t="n">
        <v>1.25</v>
      </c>
      <c r="F10" s="280" t="n">
        <v>1.4</v>
      </c>
      <c r="G10" s="280" t="n">
        <v>1.4</v>
      </c>
      <c r="H10" s="280" t="n">
        <v>1.4</v>
      </c>
      <c r="I10" s="280" t="n">
        <v>1.4</v>
      </c>
      <c r="J10" s="280" t="n">
        <v>1.4</v>
      </c>
      <c r="K10" s="281" t="s">
        <v>1101</v>
      </c>
    </row>
    <row r="11" customFormat="false" ht="15" hidden="false" customHeight="true" outlineLevel="0" collapsed="false">
      <c r="B11" s="252"/>
      <c r="E11" s="89"/>
    </row>
    <row r="12" customFormat="false" ht="17.25" hidden="false" customHeight="true" outlineLevel="0" collapsed="false">
      <c r="B12" s="282" t="s">
        <v>1103</v>
      </c>
      <c r="C12" s="282"/>
      <c r="D12" s="282"/>
      <c r="E12" s="282"/>
      <c r="F12" s="282"/>
      <c r="G12" s="282"/>
      <c r="H12" s="282"/>
      <c r="I12" s="282"/>
      <c r="J12" s="282"/>
      <c r="K12" s="282"/>
      <c r="L12" s="0" t="s">
        <v>1104</v>
      </c>
    </row>
    <row r="13" customFormat="false" ht="15.75" hidden="false" customHeight="false" outlineLevel="0" collapsed="false">
      <c r="B13" s="282"/>
      <c r="C13" s="282"/>
      <c r="D13" s="282"/>
      <c r="E13" s="282"/>
      <c r="F13" s="282"/>
      <c r="G13" s="282"/>
      <c r="H13" s="282"/>
      <c r="I13" s="282"/>
      <c r="J13" s="282"/>
      <c r="K13" s="282"/>
    </row>
    <row r="14" customFormat="false" ht="15.75" hidden="false" customHeight="false" outlineLevel="0" collapsed="false">
      <c r="B14" s="283" t="s">
        <v>1098</v>
      </c>
      <c r="C14" s="284" t="n">
        <v>350</v>
      </c>
      <c r="D14" s="284" t="n">
        <v>250</v>
      </c>
      <c r="E14" s="284" t="n">
        <v>180</v>
      </c>
      <c r="F14" s="284" t="n">
        <v>130</v>
      </c>
      <c r="G14" s="284" t="n">
        <v>90</v>
      </c>
      <c r="H14" s="284" t="n">
        <v>65</v>
      </c>
      <c r="I14" s="284" t="n">
        <v>45</v>
      </c>
      <c r="J14" s="284" t="n">
        <v>32</v>
      </c>
      <c r="K14" s="285" t="s">
        <v>995</v>
      </c>
    </row>
    <row r="15" customFormat="false" ht="15.75" hidden="false" customHeight="false" outlineLevel="0" collapsed="false">
      <c r="B15" s="277" t="s">
        <v>1105</v>
      </c>
      <c r="C15" s="0" t="n">
        <v>68</v>
      </c>
      <c r="D15" s="0" t="n">
        <v>8</v>
      </c>
      <c r="E15" s="0" t="n">
        <v>32</v>
      </c>
      <c r="F15" s="0" t="n">
        <v>36</v>
      </c>
      <c r="G15" s="0" t="n">
        <v>34</v>
      </c>
      <c r="H15" s="0" t="n">
        <v>24</v>
      </c>
      <c r="I15" s="0" t="n">
        <v>10</v>
      </c>
      <c r="J15" s="0" t="n">
        <v>11</v>
      </c>
      <c r="K15" s="286" t="s">
        <v>1106</v>
      </c>
    </row>
    <row r="16" customFormat="false" ht="15.75" hidden="false" customHeight="false" outlineLevel="0" collapsed="false">
      <c r="B16" s="287" t="s">
        <v>1107</v>
      </c>
      <c r="C16" s="288" t="n">
        <v>549</v>
      </c>
      <c r="D16" s="288" t="n">
        <v>275</v>
      </c>
      <c r="E16" s="288" t="n">
        <v>219</v>
      </c>
      <c r="F16" s="288" t="n">
        <v>203</v>
      </c>
      <c r="G16" s="288" t="n">
        <v>199</v>
      </c>
      <c r="H16" s="288" t="n">
        <v>218</v>
      </c>
      <c r="I16" s="288" t="n">
        <v>238</v>
      </c>
      <c r="J16" s="288" t="n">
        <v>255</v>
      </c>
      <c r="K16" s="286" t="s">
        <v>1106</v>
      </c>
    </row>
    <row r="17" customFormat="false" ht="15.75" hidden="false" customHeight="false" outlineLevel="0" collapsed="false">
      <c r="B17" s="277" t="s">
        <v>1108</v>
      </c>
      <c r="C17" s="0" t="n">
        <v>140</v>
      </c>
      <c r="D17" s="0" t="n">
        <v>81</v>
      </c>
      <c r="E17" s="0" t="n">
        <v>66</v>
      </c>
      <c r="F17" s="0" t="n">
        <v>57</v>
      </c>
      <c r="G17" s="0" t="n">
        <v>57</v>
      </c>
      <c r="H17" s="0" t="n">
        <v>53</v>
      </c>
      <c r="I17" s="0" t="n">
        <v>53</v>
      </c>
      <c r="J17" s="0" t="n">
        <v>53</v>
      </c>
      <c r="K17" s="286" t="s">
        <v>1106</v>
      </c>
    </row>
    <row r="18" customFormat="false" ht="15.75" hidden="false" customHeight="false" outlineLevel="0" collapsed="false">
      <c r="B18" s="277" t="s">
        <v>1109</v>
      </c>
      <c r="C18" s="91" t="n">
        <v>1.1</v>
      </c>
      <c r="D18" s="91" t="n">
        <v>0.9</v>
      </c>
      <c r="E18" s="91" t="n">
        <v>0.8</v>
      </c>
      <c r="F18" s="91" t="n">
        <v>0.5</v>
      </c>
      <c r="G18" s="91" t="n">
        <v>1</v>
      </c>
      <c r="H18" s="91" t="n">
        <v>1.3</v>
      </c>
      <c r="I18" s="91" t="n">
        <v>1.9</v>
      </c>
      <c r="J18" s="91" t="n">
        <v>2</v>
      </c>
      <c r="K18" s="286" t="s">
        <v>1106</v>
      </c>
    </row>
    <row r="19" customFormat="false" ht="15.75" hidden="false" customHeight="false" outlineLevel="0" collapsed="false">
      <c r="B19" s="277" t="s">
        <v>1110</v>
      </c>
      <c r="C19" s="91" t="n">
        <v>1.5</v>
      </c>
      <c r="D19" s="91" t="n">
        <v>0.8</v>
      </c>
      <c r="E19" s="91" t="n">
        <v>0.7</v>
      </c>
      <c r="F19" s="91" t="n">
        <v>0.5</v>
      </c>
      <c r="G19" s="91" t="n">
        <v>0.5</v>
      </c>
      <c r="H19" s="91" t="n">
        <v>0.4</v>
      </c>
      <c r="I19" s="91" t="n">
        <v>0.3</v>
      </c>
      <c r="J19" s="91" t="n">
        <v>0.3</v>
      </c>
      <c r="K19" s="286" t="s">
        <v>1106</v>
      </c>
    </row>
    <row r="20" customFormat="false" ht="15.75" hidden="false" customHeight="false" outlineLevel="0" collapsed="false">
      <c r="B20" s="277" t="s">
        <v>1111</v>
      </c>
      <c r="C20" s="0" t="n">
        <f aca="false">SUM(C15:C19)-C16</f>
        <v>210.6</v>
      </c>
      <c r="D20" s="0" t="n">
        <f aca="false">SUM(D15:D19)-D16</f>
        <v>90.7</v>
      </c>
      <c r="E20" s="0" t="n">
        <f aca="false">SUM(E15:E19)-E16</f>
        <v>99.5</v>
      </c>
      <c r="F20" s="0" t="n">
        <f aca="false">SUM(F15:F19)-F16</f>
        <v>94</v>
      </c>
      <c r="G20" s="0" t="n">
        <f aca="false">SUM(G15:G19)-G16</f>
        <v>92.5</v>
      </c>
      <c r="H20" s="0" t="n">
        <f aca="false">SUM(H15:H19)-H16</f>
        <v>78.7</v>
      </c>
      <c r="I20" s="0" t="n">
        <f aca="false">SUM(I15:I19)-I16</f>
        <v>65.2</v>
      </c>
      <c r="J20" s="0" t="n">
        <f aca="false">SUM(J15:J19)-J16</f>
        <v>66.3</v>
      </c>
      <c r="K20" s="278" t="s">
        <v>1106</v>
      </c>
    </row>
    <row r="21" customFormat="false" ht="15.75" hidden="false" customHeight="false" outlineLevel="0" collapsed="false">
      <c r="B21" s="279" t="s">
        <v>1111</v>
      </c>
      <c r="C21" s="289" t="n">
        <f aca="false">C20/C10</f>
        <v>107.448979591837</v>
      </c>
      <c r="D21" s="289" t="n">
        <f aca="false">D20/D10</f>
        <v>60.4666666666667</v>
      </c>
      <c r="E21" s="289" t="n">
        <f aca="false">E20/E10</f>
        <v>79.6</v>
      </c>
      <c r="F21" s="289" t="n">
        <f aca="false">F20/F10</f>
        <v>67.1428571428572</v>
      </c>
      <c r="G21" s="289" t="n">
        <f aca="false">G20/G10</f>
        <v>66.0714285714286</v>
      </c>
      <c r="H21" s="289" t="n">
        <f aca="false">H20/H10</f>
        <v>56.2142857142857</v>
      </c>
      <c r="I21" s="289" t="n">
        <f aca="false">I20/I10</f>
        <v>46.5714285714286</v>
      </c>
      <c r="J21" s="289" t="n">
        <f aca="false">J20/J10</f>
        <v>47.3571428571429</v>
      </c>
      <c r="K21" s="281" t="s">
        <v>1112</v>
      </c>
    </row>
    <row r="23" customFormat="false" ht="15" hidden="false" customHeight="true" outlineLevel="0" collapsed="false">
      <c r="B23" s="290" t="s">
        <v>1113</v>
      </c>
      <c r="C23" s="290"/>
      <c r="D23" s="290"/>
      <c r="E23" s="290"/>
      <c r="F23" s="290"/>
      <c r="G23" s="290"/>
      <c r="H23" s="290"/>
      <c r="I23" s="290"/>
      <c r="J23" s="290"/>
      <c r="K23" s="290"/>
      <c r="L23" s="0" t="s">
        <v>1114</v>
      </c>
    </row>
    <row r="24" customFormat="false" ht="15.75" hidden="false" customHeight="false" outlineLevel="0" collapsed="false">
      <c r="B24" s="290"/>
      <c r="C24" s="290"/>
      <c r="D24" s="290"/>
      <c r="E24" s="290"/>
      <c r="F24" s="290"/>
      <c r="G24" s="290"/>
      <c r="H24" s="290"/>
      <c r="I24" s="290"/>
      <c r="J24" s="290"/>
      <c r="K24" s="290"/>
    </row>
    <row r="25" customFormat="false" ht="15.75" hidden="false" customHeight="false" outlineLevel="0" collapsed="false">
      <c r="B25" s="283" t="s">
        <v>1098</v>
      </c>
      <c r="C25" s="284" t="n">
        <v>350</v>
      </c>
      <c r="D25" s="284" t="n">
        <v>250</v>
      </c>
      <c r="E25" s="284" t="n">
        <v>180</v>
      </c>
      <c r="F25" s="284" t="n">
        <v>130</v>
      </c>
      <c r="G25" s="284" t="n">
        <v>90</v>
      </c>
      <c r="H25" s="284" t="n">
        <v>65</v>
      </c>
      <c r="I25" s="284" t="n">
        <v>45</v>
      </c>
      <c r="J25" s="284" t="n">
        <v>32</v>
      </c>
      <c r="K25" s="291" t="s">
        <v>995</v>
      </c>
    </row>
    <row r="26" customFormat="false" ht="15.75" hidden="false" customHeight="false" outlineLevel="0" collapsed="false">
      <c r="B26" s="277" t="s">
        <v>1115</v>
      </c>
      <c r="C26" s="252" t="n">
        <v>86</v>
      </c>
      <c r="D26" s="252" t="n">
        <v>43</v>
      </c>
      <c r="E26" s="252" t="n">
        <v>40</v>
      </c>
      <c r="F26" s="252" t="n">
        <v>37</v>
      </c>
      <c r="G26" s="252" t="n">
        <v>36</v>
      </c>
      <c r="H26" s="252" t="n">
        <v>40</v>
      </c>
      <c r="I26" s="252" t="n">
        <v>43</v>
      </c>
      <c r="J26" s="252" t="n">
        <v>47</v>
      </c>
      <c r="K26" s="278" t="s">
        <v>1116</v>
      </c>
    </row>
    <row r="27" customFormat="false" ht="15.75" hidden="false" customHeight="false" outlineLevel="0" collapsed="false">
      <c r="B27" s="277" t="s">
        <v>1117</v>
      </c>
      <c r="C27" s="252" t="n">
        <v>14</v>
      </c>
      <c r="D27" s="252" t="n">
        <v>12</v>
      </c>
      <c r="E27" s="252" t="n">
        <v>10</v>
      </c>
      <c r="F27" s="252" t="n">
        <v>7</v>
      </c>
      <c r="G27" s="252" t="n">
        <v>12</v>
      </c>
      <c r="H27" s="252" t="n">
        <v>16</v>
      </c>
      <c r="I27" s="252" t="n">
        <v>24</v>
      </c>
      <c r="J27" s="252" t="n">
        <v>25</v>
      </c>
      <c r="K27" s="278" t="s">
        <v>1116</v>
      </c>
    </row>
    <row r="28" customFormat="false" ht="15.75" hidden="false" customHeight="false" outlineLevel="0" collapsed="false">
      <c r="B28" s="277" t="s">
        <v>1118</v>
      </c>
      <c r="C28" s="252" t="n">
        <v>15</v>
      </c>
      <c r="D28" s="252" t="n">
        <v>13</v>
      </c>
      <c r="E28" s="252" t="n">
        <v>10</v>
      </c>
      <c r="F28" s="252" t="n">
        <v>8.9</v>
      </c>
      <c r="G28" s="252" t="n">
        <v>8.9</v>
      </c>
      <c r="H28" s="252" t="n">
        <v>8.3</v>
      </c>
      <c r="I28" s="252" t="n">
        <v>8.3</v>
      </c>
      <c r="J28" s="252" t="n">
        <v>8.3</v>
      </c>
      <c r="K28" s="278" t="s">
        <v>1116</v>
      </c>
    </row>
    <row r="29" customFormat="false" ht="15.75" hidden="true" customHeight="true" outlineLevel="0" collapsed="false">
      <c r="B29" s="277" t="s">
        <v>1119</v>
      </c>
      <c r="C29" s="252" t="n">
        <v>18</v>
      </c>
      <c r="D29" s="252" t="n">
        <v>10</v>
      </c>
      <c r="E29" s="252" t="n">
        <v>9.1</v>
      </c>
      <c r="F29" s="252" t="n">
        <v>5.8</v>
      </c>
      <c r="G29" s="252" t="n">
        <v>6.2</v>
      </c>
      <c r="H29" s="252" t="n">
        <v>5.5</v>
      </c>
      <c r="I29" s="252" t="n">
        <v>5.5</v>
      </c>
      <c r="J29" s="252" t="n">
        <v>4.1</v>
      </c>
      <c r="K29" s="278" t="s">
        <v>1116</v>
      </c>
    </row>
    <row r="30" customFormat="false" ht="15.75" hidden="true" customHeight="true" outlineLevel="0" collapsed="false">
      <c r="B30" s="277" t="s">
        <v>1120</v>
      </c>
      <c r="C30" s="0" t="n">
        <f aca="false">SUM(C26:C29)</f>
        <v>133</v>
      </c>
      <c r="D30" s="0" t="n">
        <f aca="false">SUM(D26:D29)</f>
        <v>78</v>
      </c>
      <c r="E30" s="0" t="n">
        <f aca="false">SUM(E26:E29)</f>
        <v>69.1</v>
      </c>
      <c r="F30" s="0" t="n">
        <f aca="false">SUM(F26:F29)</f>
        <v>58.7</v>
      </c>
      <c r="G30" s="0" t="n">
        <f aca="false">SUM(G26:G29)</f>
        <v>63.1</v>
      </c>
      <c r="H30" s="0" t="n">
        <f aca="false">SUM(H26:H29)</f>
        <v>69.8</v>
      </c>
      <c r="I30" s="0" t="n">
        <f aca="false">SUM(I26:I29)</f>
        <v>80.8</v>
      </c>
      <c r="J30" s="0" t="n">
        <f aca="false">SUM(J26:J29)</f>
        <v>84.4</v>
      </c>
      <c r="K30" s="278" t="s">
        <v>1116</v>
      </c>
    </row>
    <row r="31" customFormat="false" ht="15.75" hidden="false" customHeight="false" outlineLevel="0" collapsed="false">
      <c r="B31" s="277" t="s">
        <v>1121</v>
      </c>
      <c r="C31" s="252" t="n">
        <v>18</v>
      </c>
      <c r="D31" s="252" t="n">
        <v>10</v>
      </c>
      <c r="E31" s="252" t="n">
        <v>9.1</v>
      </c>
      <c r="F31" s="252" t="n">
        <v>5.8</v>
      </c>
      <c r="G31" s="252" t="n">
        <v>6.2</v>
      </c>
      <c r="H31" s="252" t="n">
        <v>5.5</v>
      </c>
      <c r="I31" s="252" t="n">
        <v>5.5</v>
      </c>
      <c r="J31" s="252" t="n">
        <v>4.1</v>
      </c>
      <c r="K31" s="278" t="s">
        <v>1116</v>
      </c>
    </row>
    <row r="32" customFormat="false" ht="15.75" hidden="false" customHeight="false" outlineLevel="0" collapsed="false">
      <c r="B32" s="277" t="s">
        <v>1111</v>
      </c>
      <c r="C32" s="0" t="n">
        <f aca="false">C26+C27+C28+C31</f>
        <v>133</v>
      </c>
      <c r="D32" s="0" t="n">
        <f aca="false">D26+D27+D28+D31</f>
        <v>78</v>
      </c>
      <c r="E32" s="0" t="n">
        <f aca="false">E26+E27+E28+E31</f>
        <v>69.1</v>
      </c>
      <c r="F32" s="0" t="n">
        <f aca="false">F26+F27+F28+F31</f>
        <v>58.7</v>
      </c>
      <c r="G32" s="0" t="n">
        <f aca="false">G26+G27+G28+G31</f>
        <v>63.1</v>
      </c>
      <c r="H32" s="0" t="n">
        <f aca="false">H26+H27+H28+H31</f>
        <v>69.8</v>
      </c>
      <c r="I32" s="0" t="n">
        <f aca="false">I26+I27+I28+I31</f>
        <v>80.8</v>
      </c>
      <c r="J32" s="0" t="n">
        <f aca="false">J26+J27+J28+J31</f>
        <v>84.4</v>
      </c>
      <c r="K32" s="278" t="s">
        <v>1116</v>
      </c>
    </row>
    <row r="33" customFormat="false" ht="15.75" hidden="false" customHeight="false" outlineLevel="0" collapsed="false">
      <c r="B33" s="292" t="s">
        <v>1111</v>
      </c>
      <c r="C33" s="289" t="n">
        <f aca="false">C32/C10</f>
        <v>67.8571428571429</v>
      </c>
      <c r="D33" s="289" t="n">
        <f aca="false">D32/D10</f>
        <v>52</v>
      </c>
      <c r="E33" s="289" t="n">
        <f aca="false">E32/E10</f>
        <v>55.28</v>
      </c>
      <c r="F33" s="289" t="n">
        <f aca="false">F32/F10</f>
        <v>41.9285714285714</v>
      </c>
      <c r="G33" s="289" t="n">
        <f aca="false">G32/G10</f>
        <v>45.0714285714286</v>
      </c>
      <c r="H33" s="289" t="n">
        <f aca="false">H32/H10</f>
        <v>49.8571428571429</v>
      </c>
      <c r="I33" s="289" t="n">
        <f aca="false">I32/I10</f>
        <v>57.7142857142857</v>
      </c>
      <c r="J33" s="289" t="n">
        <f aca="false">J32/J10</f>
        <v>60.2857142857143</v>
      </c>
      <c r="K33" s="293" t="s">
        <v>553</v>
      </c>
    </row>
    <row r="34" customFormat="false" ht="15.75" hidden="false" customHeight="false" outlineLevel="0" collapsed="false">
      <c r="K34" s="252"/>
    </row>
    <row r="35" customFormat="false" ht="15" hidden="false" customHeight="true" outlineLevel="0" collapsed="false">
      <c r="B35" s="276" t="s">
        <v>1122</v>
      </c>
      <c r="C35" s="276"/>
      <c r="D35" s="276"/>
      <c r="E35" s="276"/>
      <c r="F35" s="276"/>
      <c r="G35" s="276"/>
      <c r="H35" s="276"/>
      <c r="I35" s="276"/>
      <c r="J35" s="276"/>
      <c r="K35" s="276"/>
      <c r="L35" s="0" t="s">
        <v>1123</v>
      </c>
    </row>
    <row r="36" customFormat="false" ht="15.75" hidden="false" customHeight="false" outlineLevel="0" collapsed="false">
      <c r="B36" s="276"/>
      <c r="C36" s="276"/>
      <c r="D36" s="276"/>
      <c r="E36" s="276"/>
      <c r="F36" s="276"/>
      <c r="G36" s="276"/>
      <c r="H36" s="276"/>
      <c r="I36" s="276"/>
      <c r="J36" s="276"/>
      <c r="K36" s="276"/>
    </row>
    <row r="37" customFormat="false" ht="15.75" hidden="false" customHeight="false" outlineLevel="0" collapsed="false">
      <c r="B37" s="200" t="s">
        <v>1098</v>
      </c>
      <c r="C37" s="252" t="n">
        <v>350</v>
      </c>
      <c r="D37" s="252" t="n">
        <v>250</v>
      </c>
      <c r="E37" s="252" t="n">
        <v>180</v>
      </c>
      <c r="F37" s="252" t="n">
        <v>130</v>
      </c>
      <c r="G37" s="252" t="n">
        <v>90</v>
      </c>
      <c r="H37" s="252" t="n">
        <v>65</v>
      </c>
      <c r="I37" s="252" t="n">
        <v>45</v>
      </c>
      <c r="J37" s="252" t="n">
        <v>32</v>
      </c>
      <c r="K37" s="278"/>
    </row>
    <row r="38" customFormat="false" ht="15.75" hidden="false" customHeight="false" outlineLevel="0" collapsed="false">
      <c r="B38" s="294" t="s">
        <v>1124</v>
      </c>
      <c r="C38" s="119" t="n">
        <v>2.5</v>
      </c>
      <c r="D38" s="119" t="n">
        <v>1.3</v>
      </c>
      <c r="E38" s="119" t="n">
        <v>1</v>
      </c>
      <c r="F38" s="119" t="n">
        <v>0.9</v>
      </c>
      <c r="G38" s="119" t="n">
        <v>0.9</v>
      </c>
      <c r="H38" s="119" t="n">
        <v>1</v>
      </c>
      <c r="I38" s="119" t="n">
        <v>1.1</v>
      </c>
      <c r="J38" s="119" t="n">
        <v>1.2</v>
      </c>
      <c r="K38" s="278" t="s">
        <v>1125</v>
      </c>
    </row>
    <row r="39" customFormat="false" ht="15.75" hidden="false" customHeight="false" outlineLevel="0" collapsed="false">
      <c r="B39" s="200" t="s">
        <v>1117</v>
      </c>
      <c r="C39" s="0" t="n">
        <v>1.2</v>
      </c>
      <c r="D39" s="0" t="n">
        <v>1</v>
      </c>
      <c r="E39" s="0" t="n">
        <v>0.8</v>
      </c>
      <c r="F39" s="0" t="n">
        <v>0.5</v>
      </c>
      <c r="G39" s="0" t="n">
        <v>1</v>
      </c>
      <c r="H39" s="0" t="n">
        <v>0.7</v>
      </c>
      <c r="I39" s="0" t="n">
        <v>1.94</v>
      </c>
      <c r="J39" s="0" t="n">
        <v>2.08</v>
      </c>
      <c r="K39" s="278" t="s">
        <v>1125</v>
      </c>
    </row>
    <row r="40" customFormat="false" ht="15.75" hidden="false" customHeight="false" outlineLevel="0" collapsed="false">
      <c r="B40" s="200" t="s">
        <v>1108</v>
      </c>
      <c r="C40" s="0" t="n">
        <v>1.2</v>
      </c>
      <c r="D40" s="0" t="n">
        <v>1</v>
      </c>
      <c r="E40" s="0" t="n">
        <v>0.8</v>
      </c>
      <c r="F40" s="0" t="n">
        <v>0.7</v>
      </c>
      <c r="G40" s="0" t="n">
        <v>0.7</v>
      </c>
      <c r="H40" s="0" t="n">
        <v>0.7</v>
      </c>
      <c r="I40" s="0" t="n">
        <v>0.7</v>
      </c>
      <c r="J40" s="0" t="n">
        <v>0.7</v>
      </c>
      <c r="K40" s="278" t="s">
        <v>1125</v>
      </c>
    </row>
    <row r="41" customFormat="false" ht="15.75" hidden="false" customHeight="false" outlineLevel="0" collapsed="false">
      <c r="B41" s="200" t="s">
        <v>1121</v>
      </c>
      <c r="C41" s="0" t="n">
        <v>1.5</v>
      </c>
      <c r="D41" s="0" t="n">
        <v>0.9</v>
      </c>
      <c r="E41" s="0" t="n">
        <v>0.8</v>
      </c>
      <c r="F41" s="0" t="n">
        <v>0.5</v>
      </c>
      <c r="G41" s="0" t="n">
        <v>0.5</v>
      </c>
      <c r="H41" s="0" t="n">
        <v>0.5</v>
      </c>
      <c r="I41" s="0" t="n">
        <v>0.5</v>
      </c>
      <c r="J41" s="0" t="n">
        <v>0.5</v>
      </c>
      <c r="K41" s="278" t="s">
        <v>1125</v>
      </c>
    </row>
    <row r="42" customFormat="false" ht="15.75" hidden="false" customHeight="false" outlineLevel="0" collapsed="false">
      <c r="B42" s="200" t="s">
        <v>1111</v>
      </c>
      <c r="C42" s="0" t="n">
        <f aca="false">SUM(C38:C41)</f>
        <v>6.4</v>
      </c>
      <c r="D42" s="0" t="n">
        <f aca="false">SUM(D38:D41)</f>
        <v>4.2</v>
      </c>
      <c r="E42" s="0" t="n">
        <f aca="false">SUM(E38:E41)</f>
        <v>3.4</v>
      </c>
      <c r="F42" s="0" t="n">
        <f aca="false">SUM(F38:F41)</f>
        <v>2.6</v>
      </c>
      <c r="G42" s="0" t="n">
        <f aca="false">SUM(G38:G41)</f>
        <v>3.1</v>
      </c>
      <c r="H42" s="0" t="n">
        <f aca="false">SUM(H38:H41)</f>
        <v>2.9</v>
      </c>
      <c r="I42" s="0" t="n">
        <f aca="false">SUM(I38:I41)</f>
        <v>4.24</v>
      </c>
      <c r="J42" s="0" t="n">
        <f aca="false">SUM(J38:J41)</f>
        <v>4.48</v>
      </c>
      <c r="K42" s="278" t="s">
        <v>1125</v>
      </c>
    </row>
    <row r="43" customFormat="false" ht="15.75" hidden="false" customHeight="false" outlineLevel="0" collapsed="false">
      <c r="B43" s="295" t="s">
        <v>1111</v>
      </c>
      <c r="C43" s="296" t="n">
        <f aca="false">C42/C10</f>
        <v>3.26530612244898</v>
      </c>
      <c r="D43" s="296" t="n">
        <f aca="false">D42/D10</f>
        <v>2.8</v>
      </c>
      <c r="E43" s="296" t="n">
        <f aca="false">E42/E10</f>
        <v>2.72</v>
      </c>
      <c r="F43" s="296" t="n">
        <f aca="false">F42/F10</f>
        <v>1.85714285714286</v>
      </c>
      <c r="G43" s="296" t="n">
        <f aca="false">G42/G10</f>
        <v>2.21428571428571</v>
      </c>
      <c r="H43" s="296" t="n">
        <f aca="false">H42/H10</f>
        <v>2.07142857142857</v>
      </c>
      <c r="I43" s="296" t="n">
        <f aca="false">I42/I10</f>
        <v>3.02857142857143</v>
      </c>
      <c r="J43" s="296" t="n">
        <f aca="false">J42/J10</f>
        <v>3.2</v>
      </c>
      <c r="K43" s="281" t="s">
        <v>551</v>
      </c>
    </row>
    <row r="44" customFormat="false" ht="15.75" hidden="false" customHeight="false" outlineLevel="0" collapsed="false">
      <c r="B44" s="89"/>
    </row>
    <row r="45" customFormat="false" ht="15.75" hidden="false" customHeight="false" outlineLevel="0" collapsed="false">
      <c r="B45" s="282" t="s">
        <v>1126</v>
      </c>
      <c r="C45" s="282"/>
      <c r="D45" s="282"/>
      <c r="E45" s="282"/>
      <c r="F45" s="282"/>
      <c r="G45" s="282"/>
      <c r="H45" s="282"/>
      <c r="I45" s="282"/>
      <c r="J45" s="0" t="s">
        <v>1127</v>
      </c>
      <c r="L45" s="77"/>
    </row>
    <row r="46" customFormat="false" ht="15.75" hidden="false" customHeight="false" outlineLevel="0" collapsed="false">
      <c r="B46" s="282"/>
      <c r="C46" s="282"/>
      <c r="D46" s="282"/>
      <c r="E46" s="282"/>
      <c r="F46" s="282"/>
      <c r="G46" s="282"/>
      <c r="H46" s="282"/>
      <c r="I46" s="282"/>
    </row>
    <row r="47" customFormat="false" ht="15.75" hidden="false" customHeight="false" outlineLevel="0" collapsed="false">
      <c r="B47" s="277" t="s">
        <v>1098</v>
      </c>
      <c r="C47" s="252" t="n">
        <v>250</v>
      </c>
      <c r="D47" s="252" t="n">
        <v>180</v>
      </c>
      <c r="E47" s="252" t="n">
        <v>130</v>
      </c>
      <c r="F47" s="252" t="n">
        <v>90</v>
      </c>
      <c r="G47" s="252" t="n">
        <v>70</v>
      </c>
      <c r="H47" s="252" t="n">
        <v>57</v>
      </c>
      <c r="I47" s="297" t="s">
        <v>995</v>
      </c>
    </row>
    <row r="48" customFormat="false" ht="15.75" hidden="false" customHeight="false" outlineLevel="0" collapsed="false">
      <c r="B48" s="277" t="s">
        <v>1100</v>
      </c>
      <c r="C48" s="0" t="n">
        <v>1.28</v>
      </c>
      <c r="D48" s="0" t="n">
        <v>1.76</v>
      </c>
      <c r="E48" s="0" t="n">
        <v>1.27</v>
      </c>
      <c r="F48" s="0" t="n">
        <v>0.93</v>
      </c>
      <c r="G48" s="0" t="n">
        <v>1.1</v>
      </c>
      <c r="H48" s="0" t="n">
        <v>0.74</v>
      </c>
      <c r="I48" s="297" t="s">
        <v>541</v>
      </c>
    </row>
    <row r="49" customFormat="false" ht="15.75" hidden="false" customHeight="false" outlineLevel="0" collapsed="false">
      <c r="B49" s="277" t="s">
        <v>1128</v>
      </c>
      <c r="C49" s="298" t="n">
        <v>0.128</v>
      </c>
      <c r="D49" s="298" t="n">
        <v>0.256</v>
      </c>
      <c r="E49" s="298" t="n">
        <v>0.512</v>
      </c>
      <c r="F49" s="298" t="n">
        <v>1</v>
      </c>
      <c r="G49" s="298" t="n">
        <v>2</v>
      </c>
      <c r="H49" s="0" t="n">
        <v>2</v>
      </c>
      <c r="I49" s="278" t="s">
        <v>1129</v>
      </c>
    </row>
    <row r="50" customFormat="false" ht="67.5" hidden="false" customHeight="true" outlineLevel="0" collapsed="false">
      <c r="B50" s="299" t="s">
        <v>1130</v>
      </c>
      <c r="C50" s="0" t="n">
        <v>3</v>
      </c>
      <c r="D50" s="0" t="n">
        <v>10</v>
      </c>
      <c r="E50" s="0" t="n">
        <v>7.5</v>
      </c>
      <c r="F50" s="0" t="n">
        <v>6</v>
      </c>
      <c r="G50" s="0" t="n">
        <v>4</v>
      </c>
      <c r="H50" s="0" t="n">
        <v>12</v>
      </c>
      <c r="I50" s="278" t="s">
        <v>1131</v>
      </c>
      <c r="L50" s="300" t="s">
        <v>1132</v>
      </c>
    </row>
    <row r="51" customFormat="false" ht="15.75" hidden="false" customHeight="false" outlineLevel="0" collapsed="false">
      <c r="B51" s="301" t="s">
        <v>1133</v>
      </c>
      <c r="C51" s="0" t="n">
        <v>0.9</v>
      </c>
      <c r="D51" s="0" t="n">
        <v>2</v>
      </c>
      <c r="E51" s="0" t="n">
        <v>3</v>
      </c>
      <c r="F51" s="0" t="n">
        <v>4</v>
      </c>
      <c r="G51" s="0" t="n">
        <v>0.5</v>
      </c>
      <c r="H51" s="0" t="n">
        <v>9.5</v>
      </c>
      <c r="I51" s="278" t="s">
        <v>537</v>
      </c>
    </row>
    <row r="52" customFormat="false" ht="15.75" hidden="false" customHeight="false" outlineLevel="0" collapsed="false">
      <c r="B52" s="279" t="s">
        <v>1111</v>
      </c>
      <c r="C52" s="302" t="n">
        <f aca="false">(C50-C51)*C49/C48</f>
        <v>0.21</v>
      </c>
      <c r="D52" s="302" t="n">
        <f aca="false">(D50-D51)*D49/D48</f>
        <v>1.16363636363636</v>
      </c>
      <c r="E52" s="302" t="n">
        <f aca="false">(E50-E51)*E49/E48</f>
        <v>1.81417322834646</v>
      </c>
      <c r="F52" s="302" t="n">
        <f aca="false">(F50-F51)*F49/F48</f>
        <v>2.1505376344086</v>
      </c>
      <c r="G52" s="302" t="n">
        <f aca="false">(G50-G51)*G49/G48</f>
        <v>6.36363636363636</v>
      </c>
      <c r="H52" s="302" t="n">
        <f aca="false">(H50-H51)*H49/H48</f>
        <v>6.75675675675676</v>
      </c>
      <c r="I52" s="281" t="s">
        <v>553</v>
      </c>
      <c r="J52" s="252"/>
      <c r="K52" s="252"/>
    </row>
    <row r="53" customFormat="false" ht="15.75" hidden="false" customHeight="false" outlineLevel="0" collapsed="false">
      <c r="B53" s="89"/>
      <c r="C53" s="252"/>
      <c r="D53" s="252"/>
      <c r="E53" s="252"/>
      <c r="F53" s="252"/>
      <c r="G53" s="252"/>
      <c r="H53" s="252"/>
      <c r="I53" s="252"/>
      <c r="J53" s="252"/>
      <c r="K53" s="252"/>
    </row>
    <row r="54" customFormat="false" ht="15.75" hidden="false" customHeight="false" outlineLevel="0" collapsed="false">
      <c r="B54" s="89" t="s">
        <v>1134</v>
      </c>
      <c r="C54" s="252"/>
      <c r="D54" s="252"/>
      <c r="E54" s="252"/>
      <c r="F54" s="252"/>
      <c r="G54" s="252"/>
      <c r="H54" s="252"/>
      <c r="I54" s="252"/>
      <c r="J54" s="252" t="s">
        <v>1135</v>
      </c>
      <c r="K54" s="252"/>
    </row>
    <row r="55" customFormat="false" ht="15.75" hidden="false" customHeight="false" outlineLevel="0" collapsed="false">
      <c r="B55" s="89" t="s">
        <v>1117</v>
      </c>
      <c r="C55" s="252" t="n">
        <v>2.5</v>
      </c>
      <c r="D55" s="252" t="s">
        <v>553</v>
      </c>
      <c r="E55" s="252"/>
      <c r="F55" s="252"/>
      <c r="G55" s="252"/>
      <c r="H55" s="252"/>
      <c r="I55" s="252"/>
      <c r="J55" s="252"/>
      <c r="K55" s="252"/>
    </row>
    <row r="56" customFormat="false" ht="15.75" hidden="false" customHeight="false" outlineLevel="0" collapsed="false">
      <c r="B56" s="89" t="s">
        <v>1136</v>
      </c>
      <c r="C56" s="252" t="n">
        <v>4.5</v>
      </c>
      <c r="D56" s="252" t="s">
        <v>553</v>
      </c>
      <c r="E56" s="252"/>
      <c r="F56" s="252"/>
      <c r="G56" s="252"/>
      <c r="H56" s="252"/>
      <c r="I56" s="252"/>
      <c r="J56" s="252"/>
      <c r="K56" s="252"/>
    </row>
    <row r="57" customFormat="false" ht="15.75" hidden="false" customHeight="false" outlineLevel="0" collapsed="false">
      <c r="B57" s="89" t="s">
        <v>1137</v>
      </c>
      <c r="C57" s="0" t="n">
        <v>5.1</v>
      </c>
      <c r="D57" s="252" t="s">
        <v>553</v>
      </c>
    </row>
    <row r="58" customFormat="false" ht="15.75" hidden="false" customHeight="false" outlineLevel="0" collapsed="false">
      <c r="B58" s="89" t="s">
        <v>1138</v>
      </c>
      <c r="C58" s="0" t="n">
        <v>1</v>
      </c>
      <c r="D58" s="252" t="s">
        <v>553</v>
      </c>
    </row>
    <row r="59" s="303" customFormat="true" ht="15.75" hidden="false" customHeight="false" outlineLevel="0" collapsed="false">
      <c r="A59" s="257"/>
      <c r="B59" s="89" t="s">
        <v>1139</v>
      </c>
      <c r="C59" s="303" t="n">
        <v>22.5</v>
      </c>
      <c r="D59" s="252" t="s">
        <v>553</v>
      </c>
      <c r="N59" s="257"/>
    </row>
    <row r="61" customFormat="false" ht="15.75" hidden="false" customHeight="false" outlineLevel="0" collapsed="false">
      <c r="B61" s="279" t="s">
        <v>1111</v>
      </c>
      <c r="C61" s="182" t="n">
        <f aca="false">SUM(C55:C59)</f>
        <v>35.6</v>
      </c>
      <c r="D61" s="270" t="s">
        <v>553</v>
      </c>
    </row>
    <row r="63" customFormat="false" ht="15.75" hidden="false" customHeight="false" outlineLevel="0" collapsed="false">
      <c r="B63" s="89"/>
      <c r="C63" s="252"/>
      <c r="D63" s="252"/>
      <c r="E63" s="252"/>
      <c r="F63" s="252"/>
      <c r="G63" s="252"/>
      <c r="H63" s="252"/>
      <c r="I63" s="252"/>
    </row>
    <row r="64" customFormat="false" ht="15.75" hidden="false" customHeight="false" outlineLevel="0" collapsed="false">
      <c r="B64" s="89"/>
      <c r="J64" s="304"/>
    </row>
    <row r="65" customFormat="false" ht="15.75" hidden="false" customHeight="false" outlineLevel="0" collapsed="false">
      <c r="B65" s="89"/>
    </row>
    <row r="66" customFormat="false" ht="15.75" hidden="false" customHeight="false" outlineLevel="0" collapsed="false">
      <c r="B66" s="124"/>
    </row>
    <row r="67" customFormat="false" ht="15.75" hidden="false" customHeight="false" outlineLevel="0" collapsed="false">
      <c r="B67" s="124"/>
    </row>
    <row r="68" customFormat="false" ht="15.75" hidden="false" customHeight="false" outlineLevel="0" collapsed="false">
      <c r="B68" s="89"/>
    </row>
    <row r="77" s="303" customFormat="true" ht="15.75" hidden="false" customHeight="false" outlineLevel="0" collapsed="false">
      <c r="A77" s="257"/>
      <c r="N77" s="257"/>
    </row>
    <row r="78" customFormat="false" ht="15.75" hidden="false" customHeight="false" outlineLevel="0" collapsed="false">
      <c r="B78" s="305"/>
      <c r="C78" s="306"/>
      <c r="D78" s="306"/>
      <c r="E78" s="306"/>
      <c r="F78" s="306"/>
      <c r="G78" s="306"/>
      <c r="H78" s="306"/>
      <c r="I78" s="306"/>
      <c r="J78" s="306"/>
      <c r="K78" s="306"/>
    </row>
    <row r="79" customFormat="false" ht="15.75" hidden="false" customHeight="false" outlineLevel="0" collapsed="false">
      <c r="C79" s="91"/>
      <c r="D79" s="91"/>
      <c r="E79" s="91"/>
      <c r="F79" s="91"/>
      <c r="G79" s="91"/>
      <c r="H79" s="91"/>
      <c r="I79" s="91"/>
      <c r="J79" s="91"/>
      <c r="K79" s="91"/>
    </row>
    <row r="80" s="303" customFormat="true" ht="15.75" hidden="false" customHeight="false" outlineLevel="0" collapsed="false">
      <c r="A80" s="257"/>
      <c r="C80" s="307"/>
      <c r="D80" s="307"/>
      <c r="E80" s="307"/>
      <c r="F80" s="307"/>
      <c r="G80" s="307"/>
      <c r="H80" s="307"/>
      <c r="I80" s="307"/>
      <c r="J80" s="307"/>
      <c r="K80" s="307"/>
      <c r="N80" s="257"/>
    </row>
    <row r="81" s="303" customFormat="true" ht="15.75" hidden="false" customHeight="false" outlineLevel="0" collapsed="false">
      <c r="A81" s="257"/>
      <c r="C81" s="308"/>
      <c r="D81" s="308"/>
      <c r="E81" s="308"/>
      <c r="F81" s="308"/>
      <c r="G81" s="308"/>
      <c r="H81" s="308"/>
      <c r="I81" s="308"/>
      <c r="J81" s="308"/>
      <c r="K81" s="308"/>
      <c r="N81" s="257"/>
    </row>
    <row r="87" customFormat="false" ht="15.75" hidden="false" customHeight="false" outlineLevel="0" collapsed="false">
      <c r="B87" s="89"/>
    </row>
    <row r="88" customFormat="false" ht="15.75" hidden="false" customHeight="false" outlineLevel="0" collapsed="false">
      <c r="C88" s="91"/>
      <c r="D88" s="91"/>
      <c r="E88" s="91"/>
      <c r="F88" s="91"/>
      <c r="G88" s="91"/>
      <c r="H88" s="91"/>
      <c r="I88" s="91"/>
      <c r="J88" s="91"/>
      <c r="K88" s="91"/>
    </row>
    <row r="95" customFormat="false" ht="15.75" hidden="false" customHeight="false" outlineLevel="0" collapsed="false">
      <c r="B95" s="89"/>
    </row>
    <row r="96" customFormat="false" ht="15.75" hidden="false" customHeight="false" outlineLevel="0" collapsed="false">
      <c r="C96" s="91"/>
      <c r="D96" s="91"/>
      <c r="E96" s="91"/>
      <c r="F96" s="91"/>
      <c r="G96" s="91"/>
      <c r="H96" s="91"/>
      <c r="I96" s="91"/>
      <c r="J96" s="91"/>
      <c r="K96" s="91"/>
    </row>
  </sheetData>
  <mergeCells count="5">
    <mergeCell ref="B4:K5"/>
    <mergeCell ref="B12:K13"/>
    <mergeCell ref="B23:K24"/>
    <mergeCell ref="B35:K36"/>
    <mergeCell ref="B45:I46"/>
  </mergeCells>
  <hyperlinks>
    <hyperlink ref="C2" r:id="rId1" display="https://link.springer.com/book/10.1007/978-1-4419-9988-7  "/>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H1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K13" activeCellId="0" sqref="K13"/>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4" min="4" style="0" width="16.87"/>
    <col collapsed="false" customWidth="true" hidden="false" outlineLevel="0" max="15" min="15" style="257" width="1.26"/>
  </cols>
  <sheetData>
    <row r="2" customFormat="false" ht="15.75" hidden="false" customHeight="false" outlineLevel="0" collapsed="false">
      <c r="B2" s="92" t="s">
        <v>508</v>
      </c>
      <c r="C2" s="220" t="s">
        <v>525</v>
      </c>
    </row>
    <row r="4" customFormat="false" ht="21" hidden="false" customHeight="false" outlineLevel="0" collapsed="false">
      <c r="B4" s="259" t="s">
        <v>984</v>
      </c>
      <c r="C4" s="259"/>
      <c r="D4" s="259"/>
    </row>
    <row r="5" customFormat="false" ht="15.75" hidden="false" customHeight="false" outlineLevel="0" collapsed="false">
      <c r="C5" s="111"/>
      <c r="D5" s="260" t="s">
        <v>551</v>
      </c>
    </row>
    <row r="6" customFormat="false" ht="15.75" hidden="false" customHeight="false" outlineLevel="0" collapsed="false">
      <c r="B6" s="0" t="n">
        <v>2016</v>
      </c>
      <c r="C6" s="0" t="s">
        <v>1140</v>
      </c>
      <c r="D6" s="0" t="n">
        <v>1.2</v>
      </c>
      <c r="E6" s="0" t="s">
        <v>1141</v>
      </c>
    </row>
    <row r="7" customFormat="false" ht="15.75" hidden="false" customHeight="false" outlineLevel="0" collapsed="false">
      <c r="B7" s="0" t="n">
        <v>2016</v>
      </c>
      <c r="C7" s="0" t="s">
        <v>1142</v>
      </c>
      <c r="D7" s="0" t="n">
        <v>1.8</v>
      </c>
      <c r="E7" s="0" t="s">
        <v>1141</v>
      </c>
    </row>
    <row r="9" customFormat="false" ht="15" hidden="false" customHeight="true" outlineLevel="0" collapsed="false"/>
    <row r="10" customFormat="false" ht="15.75" hidden="false" customHeight="true" outlineLevel="0" collapsed="false">
      <c r="B10" s="309" t="s">
        <v>1143</v>
      </c>
      <c r="C10" s="309"/>
      <c r="D10" s="309"/>
      <c r="E10" s="309"/>
      <c r="F10" s="309"/>
      <c r="G10" s="309"/>
      <c r="H10" s="309"/>
    </row>
    <row r="11" customFormat="false" ht="15.75" hidden="false" customHeight="false" outlineLevel="0" collapsed="false">
      <c r="B11" s="309"/>
      <c r="C11" s="309"/>
      <c r="D11" s="309"/>
      <c r="E11" s="309"/>
      <c r="F11" s="309"/>
      <c r="G11" s="309"/>
      <c r="H11" s="309"/>
    </row>
    <row r="12" customFormat="false" ht="15.75" hidden="false" customHeight="false" outlineLevel="0" collapsed="false">
      <c r="B12" s="309"/>
      <c r="C12" s="309"/>
      <c r="D12" s="309"/>
      <c r="E12" s="309"/>
      <c r="F12" s="309"/>
      <c r="G12" s="309"/>
      <c r="H12" s="309"/>
    </row>
    <row r="13" customFormat="false" ht="30" hidden="false" customHeight="true" outlineLevel="0" collapsed="false">
      <c r="B13" s="309"/>
      <c r="C13" s="309"/>
      <c r="D13" s="309"/>
      <c r="E13" s="309"/>
      <c r="F13" s="309"/>
      <c r="G13" s="309"/>
      <c r="H13" s="309"/>
    </row>
  </sheetData>
  <mergeCells count="2">
    <mergeCell ref="B4:D4"/>
    <mergeCell ref="B10:H13"/>
  </mergeCells>
  <hyperlinks>
    <hyperlink ref="C2" r:id="rId1" display="https://doi.org/10.1016/j.eiar.2020.106416"/>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000000"/>
    <pageSetUpPr fitToPage="false"/>
  </sheetPr>
  <dimension ref="A1:AI1048576"/>
  <sheetViews>
    <sheetView showFormulas="false" showGridLines="true" showRowColHeaders="true" showZeros="true" rightToLeft="false" tabSelected="false" showOutlineSymbols="true" defaultGridColor="true" view="normal" topLeftCell="A1" colorId="64" zoomScale="50" zoomScaleNormal="50" zoomScalePageLayoutView="100" workbookViewId="0">
      <pane xSplit="0" ySplit="5" topLeftCell="A6" activePane="bottomLeft" state="frozen"/>
      <selection pane="topLeft" activeCell="A1" activeCellId="0" sqref="A1"/>
      <selection pane="bottomLeft" activeCell="F5" activeCellId="0" sqref="F5"/>
    </sheetView>
  </sheetViews>
  <sheetFormatPr defaultColWidth="8.5" defaultRowHeight="15.75" zeroHeight="false" outlineLevelRow="0" outlineLevelCol="0"/>
  <cols>
    <col collapsed="false" customWidth="true" hidden="false" outlineLevel="0" max="2" min="2" style="0" width="35.5"/>
    <col collapsed="false" customWidth="true" hidden="false" outlineLevel="0" max="21" min="3" style="0" width="14.63"/>
    <col collapsed="false" customWidth="true" hidden="false" outlineLevel="0" max="22" min="22" style="0" width="69"/>
    <col collapsed="false" customWidth="true" hidden="false" outlineLevel="0" max="23" min="23" style="20" width="14.63"/>
    <col collapsed="false" customWidth="true" hidden="false" outlineLevel="0" max="32" min="32" style="0" width="12.88"/>
    <col collapsed="false" customWidth="true" hidden="false" outlineLevel="0" max="33" min="33" style="0" width="24.87"/>
  </cols>
  <sheetData>
    <row r="1" s="21" customFormat="true" ht="15.75" hidden="false" customHeight="false" outlineLevel="0" collapsed="false">
      <c r="W1" s="22"/>
    </row>
    <row r="2" s="2" customFormat="true" ht="36.75" hidden="false" customHeight="true" outlineLevel="0" collapsed="false">
      <c r="B2" s="7" t="s">
        <v>67</v>
      </c>
      <c r="C2" s="7"/>
      <c r="D2" s="7"/>
      <c r="E2" s="7"/>
      <c r="F2" s="7"/>
      <c r="G2" s="7"/>
      <c r="H2" s="7"/>
      <c r="I2" s="7"/>
      <c r="J2" s="7"/>
      <c r="K2" s="7"/>
      <c r="L2" s="7"/>
      <c r="M2" s="7"/>
      <c r="N2" s="7"/>
      <c r="O2" s="7"/>
      <c r="P2" s="7"/>
      <c r="Q2" s="7"/>
      <c r="R2" s="7"/>
      <c r="S2" s="7"/>
      <c r="T2" s="7"/>
      <c r="U2" s="7"/>
      <c r="V2" s="7"/>
      <c r="W2" s="7"/>
      <c r="X2" s="8"/>
      <c r="Y2" s="8"/>
      <c r="Z2" s="8"/>
      <c r="AA2" s="8"/>
      <c r="AB2" s="8"/>
      <c r="AC2" s="8"/>
      <c r="AD2" s="8"/>
      <c r="AE2" s="8"/>
      <c r="AF2" s="8"/>
      <c r="AG2" s="8"/>
      <c r="AH2" s="8"/>
      <c r="AI2" s="8"/>
    </row>
    <row r="3" s="1" customFormat="true" ht="15.75" hidden="false" customHeight="false" outlineLevel="0" collapsed="false">
      <c r="A3" s="2"/>
      <c r="B3" s="5"/>
      <c r="C3" s="5"/>
      <c r="D3" s="5"/>
      <c r="E3" s="5"/>
      <c r="F3" s="5"/>
      <c r="G3" s="5"/>
      <c r="H3" s="5"/>
      <c r="I3" s="5"/>
      <c r="J3" s="5"/>
      <c r="K3" s="5"/>
      <c r="L3" s="5"/>
      <c r="M3" s="5"/>
      <c r="N3" s="5"/>
      <c r="O3" s="5"/>
      <c r="P3" s="5"/>
      <c r="Q3" s="5"/>
      <c r="R3" s="5"/>
      <c r="S3" s="5"/>
      <c r="T3" s="5"/>
      <c r="U3" s="5"/>
      <c r="V3" s="9"/>
      <c r="W3" s="5"/>
    </row>
    <row r="4" s="2" customFormat="true" ht="35.25" hidden="false" customHeight="true" outlineLevel="0" collapsed="false">
      <c r="B4" s="10" t="s">
        <v>1</v>
      </c>
      <c r="C4" s="10" t="s">
        <v>2</v>
      </c>
      <c r="D4" s="10" t="s">
        <v>3</v>
      </c>
      <c r="E4" s="10" t="s">
        <v>4</v>
      </c>
      <c r="F4" s="10" t="s">
        <v>5</v>
      </c>
      <c r="G4" s="13" t="s">
        <v>9</v>
      </c>
      <c r="H4" s="13" t="s">
        <v>10</v>
      </c>
      <c r="I4" s="13" t="s">
        <v>11</v>
      </c>
      <c r="J4" s="13" t="s">
        <v>12</v>
      </c>
      <c r="K4" s="13" t="s">
        <v>13</v>
      </c>
      <c r="L4" s="13" t="s">
        <v>14</v>
      </c>
      <c r="M4" s="13" t="s">
        <v>15</v>
      </c>
      <c r="N4" s="13" t="s">
        <v>16</v>
      </c>
      <c r="O4" s="13" t="s">
        <v>17</v>
      </c>
      <c r="P4" s="13" t="s">
        <v>18</v>
      </c>
      <c r="Q4" s="13" t="s">
        <v>19</v>
      </c>
      <c r="R4" s="13" t="s">
        <v>20</v>
      </c>
      <c r="S4" s="13" t="s">
        <v>21</v>
      </c>
      <c r="T4" s="13" t="s">
        <v>22</v>
      </c>
      <c r="U4" s="13" t="s">
        <v>23</v>
      </c>
      <c r="V4" s="11" t="s">
        <v>7</v>
      </c>
      <c r="W4" s="23" t="s">
        <v>68</v>
      </c>
      <c r="X4" s="1"/>
      <c r="Y4" s="1"/>
      <c r="Z4" s="1"/>
      <c r="AA4" s="1"/>
      <c r="AB4" s="1"/>
      <c r="AC4" s="1"/>
    </row>
    <row r="5" s="24" customFormat="true" ht="15.75" hidden="false" customHeight="false" outlineLevel="0" collapsed="false">
      <c r="F5" s="24" t="s">
        <v>69</v>
      </c>
      <c r="W5" s="25"/>
    </row>
    <row r="6" s="30" customFormat="true" ht="138" hidden="false" customHeight="true" outlineLevel="0" collapsed="false">
      <c r="A6" s="2"/>
      <c r="B6" s="26" t="s">
        <v>70</v>
      </c>
      <c r="C6" s="27" t="s">
        <v>71</v>
      </c>
      <c r="D6" s="3" t="n">
        <v>2016</v>
      </c>
      <c r="E6" s="20" t="s">
        <v>72</v>
      </c>
      <c r="F6" s="27" t="s">
        <v>45</v>
      </c>
      <c r="G6" s="3" t="s">
        <v>46</v>
      </c>
      <c r="H6" s="3" t="s">
        <v>73</v>
      </c>
      <c r="I6" s="3" t="s">
        <v>73</v>
      </c>
      <c r="J6" s="3" t="n">
        <v>32</v>
      </c>
      <c r="K6" s="3" t="n">
        <v>300</v>
      </c>
      <c r="L6" s="3" t="s">
        <v>74</v>
      </c>
      <c r="M6" s="3" t="s">
        <v>47</v>
      </c>
      <c r="N6" s="3" t="s">
        <v>75</v>
      </c>
      <c r="O6" s="3" t="s">
        <v>76</v>
      </c>
      <c r="P6" s="3" t="s">
        <v>49</v>
      </c>
      <c r="Q6" s="3" t="s">
        <v>75</v>
      </c>
      <c r="R6" s="3" t="s">
        <v>77</v>
      </c>
      <c r="S6" s="3" t="s">
        <v>78</v>
      </c>
      <c r="T6" s="3" t="s">
        <v>47</v>
      </c>
      <c r="U6" s="3" t="s">
        <v>47</v>
      </c>
      <c r="V6" s="4" t="s">
        <v>79</v>
      </c>
      <c r="W6" s="28" t="n">
        <f aca="false">'Proske data'!D8</f>
        <v>5.4</v>
      </c>
      <c r="X6" s="29"/>
      <c r="Y6" s="29"/>
      <c r="Z6" s="2"/>
      <c r="AA6" s="2"/>
      <c r="AB6" s="2"/>
      <c r="AC6" s="2"/>
      <c r="AD6" s="2"/>
      <c r="AE6" s="2"/>
      <c r="AF6" s="2"/>
      <c r="AG6" s="2"/>
    </row>
    <row r="7" s="30" customFormat="true" ht="94.5" hidden="false" customHeight="false" outlineLevel="0" collapsed="false">
      <c r="A7" s="2"/>
      <c r="B7" s="26" t="s">
        <v>80</v>
      </c>
      <c r="C7" s="27" t="s">
        <v>71</v>
      </c>
      <c r="D7" s="3" t="n">
        <v>2020</v>
      </c>
      <c r="E7" s="31" t="s">
        <v>81</v>
      </c>
      <c r="F7" s="27" t="s">
        <v>45</v>
      </c>
      <c r="G7" s="3" t="s">
        <v>46</v>
      </c>
      <c r="H7" s="3" t="s">
        <v>47</v>
      </c>
      <c r="I7" s="3" t="s">
        <v>82</v>
      </c>
      <c r="J7" s="3" t="n">
        <v>32</v>
      </c>
      <c r="K7" s="3" t="s">
        <v>83</v>
      </c>
      <c r="L7" s="3" t="s">
        <v>78</v>
      </c>
      <c r="M7" s="3" t="s">
        <v>47</v>
      </c>
      <c r="N7" s="3" t="s">
        <v>75</v>
      </c>
      <c r="O7" s="3" t="s">
        <v>76</v>
      </c>
      <c r="P7" s="3" t="s">
        <v>49</v>
      </c>
      <c r="Q7" s="3" t="s">
        <v>75</v>
      </c>
      <c r="R7" s="3" t="s">
        <v>53</v>
      </c>
      <c r="S7" s="3" t="s">
        <v>73</v>
      </c>
      <c r="T7" s="3" t="s">
        <v>47</v>
      </c>
      <c r="U7" s="3" t="s">
        <v>47</v>
      </c>
      <c r="V7" s="4" t="s">
        <v>84</v>
      </c>
      <c r="W7" s="28" t="n">
        <f aca="false">'Proske data'!N8</f>
        <v>3.3</v>
      </c>
      <c r="X7" s="29"/>
      <c r="Y7" s="29"/>
      <c r="Z7" s="2"/>
      <c r="AA7" s="2"/>
      <c r="AB7" s="2"/>
      <c r="AC7" s="2"/>
      <c r="AD7" s="2"/>
      <c r="AE7" s="2"/>
      <c r="AF7" s="2"/>
      <c r="AG7" s="2"/>
    </row>
    <row r="8" s="30" customFormat="true" ht="110.25" hidden="false" customHeight="false" outlineLevel="0" collapsed="false">
      <c r="A8" s="2"/>
      <c r="B8" s="2" t="s">
        <v>85</v>
      </c>
      <c r="C8" s="32" t="s">
        <v>86</v>
      </c>
      <c r="D8" s="3" t="n">
        <v>2012</v>
      </c>
      <c r="E8" s="20" t="s">
        <v>87</v>
      </c>
      <c r="F8" s="27" t="s">
        <v>45</v>
      </c>
      <c r="G8" s="3" t="s">
        <v>46</v>
      </c>
      <c r="H8" s="3" t="s">
        <v>47</v>
      </c>
      <c r="I8" s="32" t="s">
        <v>77</v>
      </c>
      <c r="J8" s="3" t="n">
        <v>350</v>
      </c>
      <c r="K8" s="3" t="n">
        <v>200</v>
      </c>
      <c r="L8" s="3" t="s">
        <v>47</v>
      </c>
      <c r="M8" s="3" t="s">
        <v>47</v>
      </c>
      <c r="N8" s="3" t="s">
        <v>47</v>
      </c>
      <c r="O8" s="3" t="s">
        <v>88</v>
      </c>
      <c r="P8" s="3" t="s">
        <v>89</v>
      </c>
      <c r="Q8" s="32" t="s">
        <v>61</v>
      </c>
      <c r="R8" s="3" t="s">
        <v>47</v>
      </c>
      <c r="S8" s="32" t="s">
        <v>90</v>
      </c>
      <c r="T8" s="32" t="s">
        <v>47</v>
      </c>
      <c r="U8" s="32" t="s">
        <v>74</v>
      </c>
      <c r="V8" s="4" t="s">
        <v>91</v>
      </c>
      <c r="W8" s="33" t="n">
        <f aca="false">'Boyd data'!C43</f>
        <v>3.26530612244898</v>
      </c>
      <c r="X8" s="29"/>
      <c r="Y8" s="34"/>
      <c r="Z8" s="2"/>
      <c r="AA8" s="2"/>
      <c r="AB8" s="2"/>
      <c r="AC8" s="2"/>
      <c r="AD8" s="2"/>
      <c r="AE8" s="2"/>
      <c r="AF8" s="2"/>
      <c r="AG8" s="2"/>
    </row>
    <row r="9" s="30" customFormat="true" ht="110.25" hidden="false" customHeight="false" outlineLevel="0" collapsed="false">
      <c r="A9" s="2"/>
      <c r="B9" s="2" t="s">
        <v>85</v>
      </c>
      <c r="C9" s="32" t="s">
        <v>86</v>
      </c>
      <c r="D9" s="3" t="n">
        <v>2012</v>
      </c>
      <c r="E9" s="20" t="s">
        <v>92</v>
      </c>
      <c r="F9" s="27" t="s">
        <v>45</v>
      </c>
      <c r="G9" s="3" t="s">
        <v>46</v>
      </c>
      <c r="H9" s="3" t="s">
        <v>47</v>
      </c>
      <c r="I9" s="32" t="s">
        <v>77</v>
      </c>
      <c r="J9" s="3" t="n">
        <v>250</v>
      </c>
      <c r="K9" s="3" t="n">
        <v>200</v>
      </c>
      <c r="L9" s="3" t="s">
        <v>47</v>
      </c>
      <c r="M9" s="3" t="s">
        <v>47</v>
      </c>
      <c r="N9" s="3" t="s">
        <v>47</v>
      </c>
      <c r="O9" s="3" t="s">
        <v>88</v>
      </c>
      <c r="P9" s="3" t="s">
        <v>89</v>
      </c>
      <c r="Q9" s="32" t="s">
        <v>61</v>
      </c>
      <c r="R9" s="3" t="s">
        <v>47</v>
      </c>
      <c r="S9" s="32" t="s">
        <v>90</v>
      </c>
      <c r="T9" s="32" t="s">
        <v>47</v>
      </c>
      <c r="U9" s="32" t="s">
        <v>74</v>
      </c>
      <c r="V9" s="4" t="s">
        <v>91</v>
      </c>
      <c r="W9" s="33" t="n">
        <f aca="false">'Boyd data'!D43</f>
        <v>2.8</v>
      </c>
      <c r="X9" s="29"/>
      <c r="Y9" s="29"/>
      <c r="Z9" s="2"/>
      <c r="AA9" s="2"/>
      <c r="AB9" s="2"/>
      <c r="AC9" s="2"/>
      <c r="AD9" s="2"/>
      <c r="AE9" s="2"/>
      <c r="AF9" s="2"/>
      <c r="AG9" s="2"/>
    </row>
    <row r="10" s="30" customFormat="true" ht="110.25" hidden="false" customHeight="false" outlineLevel="0" collapsed="false">
      <c r="A10" s="2"/>
      <c r="B10" s="2" t="s">
        <v>85</v>
      </c>
      <c r="C10" s="32" t="s">
        <v>86</v>
      </c>
      <c r="D10" s="3" t="n">
        <v>2012</v>
      </c>
      <c r="E10" s="20" t="s">
        <v>93</v>
      </c>
      <c r="F10" s="27" t="s">
        <v>45</v>
      </c>
      <c r="G10" s="3" t="s">
        <v>46</v>
      </c>
      <c r="H10" s="3" t="s">
        <v>47</v>
      </c>
      <c r="I10" s="32" t="s">
        <v>77</v>
      </c>
      <c r="J10" s="3" t="n">
        <v>180</v>
      </c>
      <c r="K10" s="3" t="n">
        <v>300</v>
      </c>
      <c r="L10" s="3" t="s">
        <v>47</v>
      </c>
      <c r="M10" s="3" t="s">
        <v>47</v>
      </c>
      <c r="N10" s="3" t="s">
        <v>47</v>
      </c>
      <c r="O10" s="3" t="s">
        <v>88</v>
      </c>
      <c r="P10" s="3" t="s">
        <v>89</v>
      </c>
      <c r="Q10" s="32" t="s">
        <v>61</v>
      </c>
      <c r="R10" s="3" t="s">
        <v>47</v>
      </c>
      <c r="S10" s="32" t="s">
        <v>90</v>
      </c>
      <c r="T10" s="32" t="s">
        <v>47</v>
      </c>
      <c r="U10" s="32" t="s">
        <v>74</v>
      </c>
      <c r="V10" s="4" t="s">
        <v>91</v>
      </c>
      <c r="W10" s="33" t="n">
        <f aca="false">'Boyd data'!E43</f>
        <v>2.72</v>
      </c>
      <c r="X10" s="29"/>
      <c r="Y10" s="29"/>
      <c r="Z10" s="2"/>
      <c r="AA10" s="2"/>
      <c r="AB10" s="2"/>
      <c r="AC10" s="2"/>
      <c r="AD10" s="2"/>
      <c r="AE10" s="2"/>
      <c r="AF10" s="2"/>
      <c r="AG10" s="2"/>
    </row>
    <row r="11" s="30" customFormat="true" ht="110.25" hidden="false" customHeight="false" outlineLevel="0" collapsed="false">
      <c r="A11" s="2"/>
      <c r="B11" s="2" t="s">
        <v>85</v>
      </c>
      <c r="C11" s="32" t="s">
        <v>86</v>
      </c>
      <c r="D11" s="3" t="n">
        <v>2012</v>
      </c>
      <c r="E11" s="20" t="s">
        <v>94</v>
      </c>
      <c r="F11" s="27" t="s">
        <v>45</v>
      </c>
      <c r="G11" s="3" t="s">
        <v>46</v>
      </c>
      <c r="H11" s="3" t="s">
        <v>47</v>
      </c>
      <c r="I11" s="32" t="s">
        <v>77</v>
      </c>
      <c r="J11" s="3" t="n">
        <v>130</v>
      </c>
      <c r="K11" s="3" t="n">
        <v>300</v>
      </c>
      <c r="L11" s="3" t="s">
        <v>47</v>
      </c>
      <c r="M11" s="3" t="s">
        <v>47</v>
      </c>
      <c r="N11" s="3" t="s">
        <v>47</v>
      </c>
      <c r="O11" s="3" t="s">
        <v>88</v>
      </c>
      <c r="P11" s="3" t="s">
        <v>89</v>
      </c>
      <c r="Q11" s="32" t="s">
        <v>61</v>
      </c>
      <c r="R11" s="3" t="s">
        <v>47</v>
      </c>
      <c r="S11" s="32" t="s">
        <v>90</v>
      </c>
      <c r="T11" s="32" t="s">
        <v>47</v>
      </c>
      <c r="U11" s="32" t="s">
        <v>74</v>
      </c>
      <c r="V11" s="4" t="s">
        <v>91</v>
      </c>
      <c r="W11" s="33" t="n">
        <f aca="false">'Boyd data'!F43</f>
        <v>1.85714285714286</v>
      </c>
      <c r="X11" s="29"/>
      <c r="Y11" s="29"/>
      <c r="Z11" s="2"/>
      <c r="AA11" s="2"/>
      <c r="AB11" s="2"/>
      <c r="AC11" s="2"/>
      <c r="AD11" s="2"/>
      <c r="AE11" s="2"/>
      <c r="AF11" s="2"/>
      <c r="AG11" s="2"/>
    </row>
    <row r="12" s="30" customFormat="true" ht="110.25" hidden="false" customHeight="false" outlineLevel="0" collapsed="false">
      <c r="A12" s="2"/>
      <c r="B12" s="2" t="s">
        <v>85</v>
      </c>
      <c r="C12" s="32" t="s">
        <v>86</v>
      </c>
      <c r="D12" s="3" t="n">
        <v>2012</v>
      </c>
      <c r="E12" s="20" t="s">
        <v>95</v>
      </c>
      <c r="F12" s="27" t="s">
        <v>45</v>
      </c>
      <c r="G12" s="3" t="s">
        <v>46</v>
      </c>
      <c r="H12" s="3" t="s">
        <v>47</v>
      </c>
      <c r="I12" s="32" t="s">
        <v>77</v>
      </c>
      <c r="J12" s="3" t="n">
        <v>90</v>
      </c>
      <c r="K12" s="3" t="n">
        <v>300</v>
      </c>
      <c r="L12" s="3" t="s">
        <v>47</v>
      </c>
      <c r="M12" s="3" t="s">
        <v>47</v>
      </c>
      <c r="N12" s="3" t="s">
        <v>47</v>
      </c>
      <c r="O12" s="3" t="s">
        <v>88</v>
      </c>
      <c r="P12" s="3" t="s">
        <v>89</v>
      </c>
      <c r="Q12" s="32" t="s">
        <v>61</v>
      </c>
      <c r="R12" s="3" t="s">
        <v>47</v>
      </c>
      <c r="S12" s="32" t="s">
        <v>90</v>
      </c>
      <c r="T12" s="32" t="s">
        <v>47</v>
      </c>
      <c r="U12" s="32" t="s">
        <v>74</v>
      </c>
      <c r="V12" s="4" t="s">
        <v>91</v>
      </c>
      <c r="W12" s="33" t="n">
        <f aca="false">'Boyd data'!G43</f>
        <v>2.21428571428571</v>
      </c>
      <c r="X12" s="29"/>
      <c r="Y12" s="29"/>
      <c r="Z12" s="2"/>
      <c r="AA12" s="2"/>
      <c r="AB12" s="2"/>
      <c r="AC12" s="2"/>
      <c r="AD12" s="2"/>
      <c r="AE12" s="2"/>
      <c r="AF12" s="2"/>
      <c r="AG12" s="2"/>
    </row>
    <row r="13" s="30" customFormat="true" ht="110.25" hidden="false" customHeight="false" outlineLevel="0" collapsed="false">
      <c r="A13" s="2"/>
      <c r="B13" s="2" t="s">
        <v>85</v>
      </c>
      <c r="C13" s="32" t="s">
        <v>86</v>
      </c>
      <c r="D13" s="3" t="n">
        <v>2012</v>
      </c>
      <c r="E13" s="20" t="s">
        <v>96</v>
      </c>
      <c r="F13" s="27" t="s">
        <v>45</v>
      </c>
      <c r="G13" s="3" t="s">
        <v>46</v>
      </c>
      <c r="H13" s="3" t="s">
        <v>47</v>
      </c>
      <c r="I13" s="32" t="s">
        <v>77</v>
      </c>
      <c r="J13" s="3" t="n">
        <v>65</v>
      </c>
      <c r="K13" s="3" t="n">
        <v>300</v>
      </c>
      <c r="L13" s="3" t="s">
        <v>47</v>
      </c>
      <c r="M13" s="3" t="s">
        <v>47</v>
      </c>
      <c r="N13" s="3" t="s">
        <v>47</v>
      </c>
      <c r="O13" s="3" t="s">
        <v>88</v>
      </c>
      <c r="P13" s="3" t="s">
        <v>89</v>
      </c>
      <c r="Q13" s="32" t="s">
        <v>61</v>
      </c>
      <c r="R13" s="3" t="s">
        <v>47</v>
      </c>
      <c r="S13" s="32" t="s">
        <v>90</v>
      </c>
      <c r="T13" s="32" t="s">
        <v>47</v>
      </c>
      <c r="U13" s="32" t="s">
        <v>74</v>
      </c>
      <c r="V13" s="4" t="s">
        <v>91</v>
      </c>
      <c r="W13" s="33" t="n">
        <f aca="false">'Boyd data'!H43</f>
        <v>2.07142857142857</v>
      </c>
      <c r="X13" s="29"/>
      <c r="Y13" s="29"/>
      <c r="Z13" s="2"/>
      <c r="AA13" s="2"/>
      <c r="AB13" s="2"/>
      <c r="AC13" s="2"/>
      <c r="AD13" s="2"/>
      <c r="AE13" s="2"/>
      <c r="AF13" s="2"/>
      <c r="AG13" s="2"/>
    </row>
    <row r="14" s="30" customFormat="true" ht="110.25" hidden="false" customHeight="false" outlineLevel="0" collapsed="false">
      <c r="A14" s="2"/>
      <c r="B14" s="2" t="s">
        <v>85</v>
      </c>
      <c r="C14" s="32" t="s">
        <v>86</v>
      </c>
      <c r="D14" s="3" t="n">
        <v>2012</v>
      </c>
      <c r="E14" s="20" t="s">
        <v>97</v>
      </c>
      <c r="F14" s="27" t="s">
        <v>45</v>
      </c>
      <c r="G14" s="3" t="s">
        <v>46</v>
      </c>
      <c r="H14" s="3" t="s">
        <v>47</v>
      </c>
      <c r="I14" s="32" t="s">
        <v>77</v>
      </c>
      <c r="J14" s="3" t="n">
        <v>45</v>
      </c>
      <c r="K14" s="3" t="n">
        <v>300</v>
      </c>
      <c r="L14" s="3" t="s">
        <v>47</v>
      </c>
      <c r="M14" s="3" t="s">
        <v>47</v>
      </c>
      <c r="N14" s="3" t="s">
        <v>47</v>
      </c>
      <c r="O14" s="3" t="s">
        <v>88</v>
      </c>
      <c r="P14" s="3" t="s">
        <v>89</v>
      </c>
      <c r="Q14" s="32" t="s">
        <v>61</v>
      </c>
      <c r="R14" s="3" t="s">
        <v>47</v>
      </c>
      <c r="S14" s="32" t="s">
        <v>90</v>
      </c>
      <c r="T14" s="32" t="s">
        <v>47</v>
      </c>
      <c r="U14" s="32" t="s">
        <v>74</v>
      </c>
      <c r="V14" s="4" t="s">
        <v>91</v>
      </c>
      <c r="W14" s="33" t="n">
        <f aca="false">'Boyd data'!I43</f>
        <v>3.02857142857143</v>
      </c>
      <c r="X14" s="29"/>
      <c r="Y14" s="29"/>
      <c r="Z14" s="2"/>
      <c r="AA14" s="2"/>
      <c r="AB14" s="2"/>
      <c r="AC14" s="2"/>
      <c r="AD14" s="2"/>
      <c r="AE14" s="2"/>
      <c r="AF14" s="2"/>
      <c r="AG14" s="2"/>
    </row>
    <row r="15" s="30" customFormat="true" ht="110.25" hidden="false" customHeight="false" outlineLevel="0" collapsed="false">
      <c r="A15" s="2"/>
      <c r="B15" s="2" t="s">
        <v>85</v>
      </c>
      <c r="C15" s="32" t="s">
        <v>86</v>
      </c>
      <c r="D15" s="3" t="n">
        <v>2012</v>
      </c>
      <c r="E15" s="20" t="s">
        <v>98</v>
      </c>
      <c r="F15" s="27" t="s">
        <v>45</v>
      </c>
      <c r="G15" s="3" t="s">
        <v>46</v>
      </c>
      <c r="H15" s="3" t="s">
        <v>47</v>
      </c>
      <c r="I15" s="32" t="s">
        <v>77</v>
      </c>
      <c r="J15" s="3" t="n">
        <v>32</v>
      </c>
      <c r="K15" s="3" t="n">
        <v>300</v>
      </c>
      <c r="L15" s="3" t="s">
        <v>47</v>
      </c>
      <c r="M15" s="3" t="s">
        <v>47</v>
      </c>
      <c r="N15" s="3" t="s">
        <v>47</v>
      </c>
      <c r="O15" s="3" t="s">
        <v>88</v>
      </c>
      <c r="P15" s="3" t="s">
        <v>89</v>
      </c>
      <c r="Q15" s="32" t="s">
        <v>61</v>
      </c>
      <c r="R15" s="3" t="s">
        <v>47</v>
      </c>
      <c r="S15" s="32" t="s">
        <v>90</v>
      </c>
      <c r="T15" s="32" t="s">
        <v>47</v>
      </c>
      <c r="U15" s="32" t="s">
        <v>74</v>
      </c>
      <c r="V15" s="4" t="s">
        <v>91</v>
      </c>
      <c r="W15" s="33" t="n">
        <f aca="false">'Boyd data'!J43</f>
        <v>3.2</v>
      </c>
      <c r="X15" s="29"/>
      <c r="Y15" s="29"/>
      <c r="Z15" s="2"/>
      <c r="AA15" s="2"/>
      <c r="AB15" s="2"/>
      <c r="AC15" s="2"/>
      <c r="AD15" s="2"/>
      <c r="AE15" s="2"/>
      <c r="AF15" s="2"/>
      <c r="AG15" s="2"/>
    </row>
    <row r="16" s="30" customFormat="true" ht="47.25" hidden="false" customHeight="false" outlineLevel="0" collapsed="false">
      <c r="A16" s="2"/>
      <c r="B16" s="2" t="s">
        <v>99</v>
      </c>
      <c r="C16" s="32" t="s">
        <v>100</v>
      </c>
      <c r="D16" s="3" t="n">
        <v>2015</v>
      </c>
      <c r="E16" s="31" t="s">
        <v>101</v>
      </c>
      <c r="F16" s="27" t="s">
        <v>45</v>
      </c>
      <c r="G16" s="3" t="s">
        <v>102</v>
      </c>
      <c r="H16" s="3" t="s">
        <v>47</v>
      </c>
      <c r="I16" s="32" t="s">
        <v>53</v>
      </c>
      <c r="J16" s="3" t="s">
        <v>75</v>
      </c>
      <c r="K16" s="3" t="s">
        <v>75</v>
      </c>
      <c r="L16" s="3" t="s">
        <v>75</v>
      </c>
      <c r="M16" s="3" t="s">
        <v>75</v>
      </c>
      <c r="N16" s="3" t="s">
        <v>75</v>
      </c>
      <c r="O16" s="3" t="s">
        <v>48</v>
      </c>
      <c r="P16" s="3" t="s">
        <v>49</v>
      </c>
      <c r="Q16" s="32" t="s">
        <v>103</v>
      </c>
      <c r="R16" s="3" t="s">
        <v>53</v>
      </c>
      <c r="S16" s="32" t="s">
        <v>104</v>
      </c>
      <c r="T16" s="32" t="s">
        <v>53</v>
      </c>
      <c r="U16" s="32" t="s">
        <v>47</v>
      </c>
      <c r="V16" s="4" t="s">
        <v>105</v>
      </c>
      <c r="W16" s="33" t="n">
        <f aca="false">'Andrae data'!D6</f>
        <v>2.2</v>
      </c>
      <c r="X16" s="29"/>
      <c r="Y16" s="29"/>
      <c r="Z16" s="2"/>
      <c r="AA16" s="2"/>
      <c r="AB16" s="2"/>
      <c r="AC16" s="2"/>
      <c r="AD16" s="2"/>
      <c r="AE16" s="2"/>
      <c r="AF16" s="2"/>
      <c r="AG16" s="2"/>
    </row>
    <row r="17" s="30" customFormat="true" ht="78.75" hidden="false" customHeight="false" outlineLevel="0" collapsed="false">
      <c r="A17" s="2"/>
      <c r="B17" s="2" t="s">
        <v>106</v>
      </c>
      <c r="C17" s="32" t="s">
        <v>100</v>
      </c>
      <c r="D17" s="3" t="n">
        <v>2014</v>
      </c>
      <c r="E17" s="31" t="s">
        <v>107</v>
      </c>
      <c r="F17" s="27" t="s">
        <v>45</v>
      </c>
      <c r="G17" s="3" t="s">
        <v>102</v>
      </c>
      <c r="H17" s="3" t="s">
        <v>47</v>
      </c>
      <c r="I17" s="3" t="s">
        <v>53</v>
      </c>
      <c r="J17" s="3" t="s">
        <v>75</v>
      </c>
      <c r="K17" s="3" t="s">
        <v>75</v>
      </c>
      <c r="L17" s="3" t="s">
        <v>75</v>
      </c>
      <c r="M17" s="3" t="s">
        <v>75</v>
      </c>
      <c r="N17" s="3" t="s">
        <v>75</v>
      </c>
      <c r="O17" s="3" t="s">
        <v>75</v>
      </c>
      <c r="P17" s="3" t="s">
        <v>49</v>
      </c>
      <c r="Q17" s="3" t="s">
        <v>108</v>
      </c>
      <c r="R17" s="3" t="s">
        <v>53</v>
      </c>
      <c r="S17" s="3" t="s">
        <v>78</v>
      </c>
      <c r="T17" s="3" t="s">
        <v>53</v>
      </c>
      <c r="U17" s="3" t="s">
        <v>47</v>
      </c>
      <c r="V17" s="4" t="s">
        <v>109</v>
      </c>
      <c r="W17" s="28" t="n">
        <f aca="false">'Andrae data'!L6</f>
        <v>2.17</v>
      </c>
      <c r="X17" s="29"/>
      <c r="Y17" s="29"/>
      <c r="Z17" s="2"/>
      <c r="AA17" s="2"/>
      <c r="AB17" s="2"/>
      <c r="AC17" s="2"/>
      <c r="AD17" s="2"/>
      <c r="AE17" s="2"/>
      <c r="AF17" s="2"/>
      <c r="AG17" s="2"/>
    </row>
    <row r="18" s="30" customFormat="true" ht="94.5" hidden="false" customHeight="false" outlineLevel="0" collapsed="false">
      <c r="A18" s="2"/>
      <c r="B18" s="35" t="s">
        <v>110</v>
      </c>
      <c r="C18" s="32" t="s">
        <v>100</v>
      </c>
      <c r="D18" s="32" t="n">
        <v>2017</v>
      </c>
      <c r="E18" s="31" t="s">
        <v>111</v>
      </c>
      <c r="F18" s="27" t="s">
        <v>45</v>
      </c>
      <c r="G18" s="32" t="s">
        <v>46</v>
      </c>
      <c r="H18" s="32" t="s">
        <v>75</v>
      </c>
      <c r="I18" s="32" t="s">
        <v>75</v>
      </c>
      <c r="J18" s="32" t="s">
        <v>75</v>
      </c>
      <c r="K18" s="32" t="s">
        <v>75</v>
      </c>
      <c r="L18" s="32" t="s">
        <v>75</v>
      </c>
      <c r="M18" s="32" t="s">
        <v>75</v>
      </c>
      <c r="N18" s="32" t="s">
        <v>75</v>
      </c>
      <c r="O18" s="32" t="s">
        <v>112</v>
      </c>
      <c r="P18" s="32" t="s">
        <v>49</v>
      </c>
      <c r="Q18" s="3" t="s">
        <v>113</v>
      </c>
      <c r="R18" s="32" t="s">
        <v>114</v>
      </c>
      <c r="S18" s="32" t="s">
        <v>73</v>
      </c>
      <c r="T18" s="32" t="s">
        <v>53</v>
      </c>
      <c r="U18" s="32" t="s">
        <v>47</v>
      </c>
      <c r="V18" s="36" t="s">
        <v>115</v>
      </c>
      <c r="W18" s="33" t="n">
        <f aca="false">'Andrae data'!T6</f>
        <v>2.162</v>
      </c>
      <c r="X18" s="37"/>
      <c r="Y18" s="37"/>
      <c r="Z18" s="35"/>
      <c r="AA18" s="35"/>
      <c r="AB18" s="35"/>
      <c r="AC18" s="35"/>
      <c r="AD18" s="35"/>
      <c r="AE18" s="35"/>
      <c r="AF18" s="35"/>
      <c r="AG18" s="35"/>
    </row>
    <row r="19" s="30" customFormat="true" ht="47.25" hidden="false" customHeight="false" outlineLevel="0" collapsed="false">
      <c r="A19" s="2"/>
      <c r="B19" s="35" t="s">
        <v>116</v>
      </c>
      <c r="C19" s="32" t="s">
        <v>117</v>
      </c>
      <c r="D19" s="32" t="n">
        <v>2016</v>
      </c>
      <c r="E19" s="20" t="s">
        <v>118</v>
      </c>
      <c r="F19" s="27" t="s">
        <v>45</v>
      </c>
      <c r="G19" s="32" t="s">
        <v>46</v>
      </c>
      <c r="H19" s="32" t="s">
        <v>47</v>
      </c>
      <c r="I19" s="32" t="s">
        <v>47</v>
      </c>
      <c r="J19" s="32" t="s">
        <v>75</v>
      </c>
      <c r="K19" s="32" t="s">
        <v>75</v>
      </c>
      <c r="L19" s="32" t="s">
        <v>47</v>
      </c>
      <c r="M19" s="32" t="s">
        <v>47</v>
      </c>
      <c r="N19" s="32" t="s">
        <v>47</v>
      </c>
      <c r="O19" s="32" t="s">
        <v>75</v>
      </c>
      <c r="P19" s="32" t="s">
        <v>119</v>
      </c>
      <c r="Q19" s="32" t="s">
        <v>75</v>
      </c>
      <c r="R19" s="32" t="s">
        <v>73</v>
      </c>
      <c r="S19" s="32" t="s">
        <v>114</v>
      </c>
      <c r="T19" s="32" t="s">
        <v>53</v>
      </c>
      <c r="U19" s="32" t="s">
        <v>47</v>
      </c>
      <c r="V19" s="36" t="s">
        <v>120</v>
      </c>
      <c r="W19" s="33" t="n">
        <f aca="false">'Ercan data'!I6</f>
        <v>3.5</v>
      </c>
      <c r="X19" s="37"/>
      <c r="Y19" s="37"/>
      <c r="Z19" s="35"/>
      <c r="AA19" s="35"/>
      <c r="AB19" s="35"/>
      <c r="AC19" s="35"/>
      <c r="AD19" s="35"/>
      <c r="AE19" s="35"/>
      <c r="AF19" s="35"/>
      <c r="AG19" s="35"/>
    </row>
    <row r="20" s="30" customFormat="true" ht="31.5" hidden="false" customHeight="false" outlineLevel="0" collapsed="false">
      <c r="A20" s="2"/>
      <c r="B20" s="35" t="s">
        <v>116</v>
      </c>
      <c r="C20" s="32" t="s">
        <v>117</v>
      </c>
      <c r="D20" s="32" t="n">
        <v>2016</v>
      </c>
      <c r="E20" s="20" t="s">
        <v>118</v>
      </c>
      <c r="F20" s="27" t="s">
        <v>45</v>
      </c>
      <c r="G20" s="32" t="s">
        <v>46</v>
      </c>
      <c r="H20" s="32" t="s">
        <v>47</v>
      </c>
      <c r="I20" s="32" t="s">
        <v>47</v>
      </c>
      <c r="J20" s="32" t="s">
        <v>75</v>
      </c>
      <c r="K20" s="32" t="s">
        <v>75</v>
      </c>
      <c r="L20" s="32" t="s">
        <v>47</v>
      </c>
      <c r="M20" s="32" t="s">
        <v>47</v>
      </c>
      <c r="N20" s="32" t="s">
        <v>47</v>
      </c>
      <c r="O20" s="32" t="s">
        <v>75</v>
      </c>
      <c r="P20" s="32" t="s">
        <v>119</v>
      </c>
      <c r="Q20" s="32" t="s">
        <v>75</v>
      </c>
      <c r="R20" s="32" t="s">
        <v>73</v>
      </c>
      <c r="S20" s="32" t="s">
        <v>114</v>
      </c>
      <c r="T20" s="32" t="s">
        <v>53</v>
      </c>
      <c r="U20" s="32" t="s">
        <v>47</v>
      </c>
      <c r="V20" s="36" t="s">
        <v>121</v>
      </c>
      <c r="W20" s="33" t="n">
        <f aca="false">'Ercan data'!I7</f>
        <v>4</v>
      </c>
      <c r="X20" s="37"/>
      <c r="Y20" s="37"/>
      <c r="Z20" s="35"/>
      <c r="AA20" s="35"/>
      <c r="AB20" s="35"/>
      <c r="AC20" s="35"/>
      <c r="AD20" s="35"/>
      <c r="AE20" s="35"/>
      <c r="AF20" s="35"/>
      <c r="AG20" s="35"/>
    </row>
    <row r="21" s="30" customFormat="true" ht="173.25" hidden="false" customHeight="false" outlineLevel="0" collapsed="false">
      <c r="A21" s="2"/>
      <c r="B21" s="26" t="s">
        <v>122</v>
      </c>
      <c r="C21" s="27" t="s">
        <v>123</v>
      </c>
      <c r="D21" s="32" t="n">
        <v>2012</v>
      </c>
      <c r="E21" s="20" t="s">
        <v>124</v>
      </c>
      <c r="F21" s="27" t="s">
        <v>45</v>
      </c>
      <c r="G21" s="32" t="s">
        <v>46</v>
      </c>
      <c r="H21" s="32" t="s">
        <v>47</v>
      </c>
      <c r="I21" s="32" t="s">
        <v>125</v>
      </c>
      <c r="J21" s="32" t="s">
        <v>75</v>
      </c>
      <c r="K21" s="32" t="n">
        <v>300</v>
      </c>
      <c r="L21" s="32" t="s">
        <v>78</v>
      </c>
      <c r="M21" s="32" t="s">
        <v>47</v>
      </c>
      <c r="N21" s="32" t="s">
        <v>74</v>
      </c>
      <c r="O21" s="3" t="s">
        <v>126</v>
      </c>
      <c r="P21" s="32" t="s">
        <v>49</v>
      </c>
      <c r="Q21" s="32" t="s">
        <v>61</v>
      </c>
      <c r="R21" s="32" t="s">
        <v>114</v>
      </c>
      <c r="S21" s="32" t="s">
        <v>73</v>
      </c>
      <c r="T21" s="32" t="s">
        <v>47</v>
      </c>
      <c r="U21" s="32" t="s">
        <v>47</v>
      </c>
      <c r="V21" s="36" t="s">
        <v>127</v>
      </c>
      <c r="W21" s="33" t="n">
        <f aca="false">'Schmidt data'!D5</f>
        <v>2.1</v>
      </c>
      <c r="X21" s="37"/>
      <c r="Y21" s="37"/>
      <c r="Z21" s="35"/>
      <c r="AA21" s="35"/>
      <c r="AB21" s="35"/>
      <c r="AC21" s="35"/>
      <c r="AD21" s="35"/>
      <c r="AE21" s="35"/>
      <c r="AF21" s="35"/>
      <c r="AG21" s="35"/>
    </row>
    <row r="22" s="30" customFormat="true" ht="63" hidden="false" customHeight="false" outlineLevel="0" collapsed="false">
      <c r="A22" s="2"/>
      <c r="B22" s="35" t="s">
        <v>128</v>
      </c>
      <c r="C22" s="32" t="s">
        <v>129</v>
      </c>
      <c r="D22" s="32" t="n">
        <v>2013</v>
      </c>
      <c r="E22" s="31" t="s">
        <v>130</v>
      </c>
      <c r="F22" s="27" t="s">
        <v>45</v>
      </c>
      <c r="G22" s="32" t="s">
        <v>46</v>
      </c>
      <c r="H22" s="32" t="s">
        <v>47</v>
      </c>
      <c r="I22" s="32" t="s">
        <v>78</v>
      </c>
      <c r="J22" s="32" t="n">
        <v>130</v>
      </c>
      <c r="K22" s="32" t="s">
        <v>75</v>
      </c>
      <c r="L22" s="32" t="s">
        <v>75</v>
      </c>
      <c r="M22" s="32" t="s">
        <v>75</v>
      </c>
      <c r="N22" s="32" t="s">
        <v>75</v>
      </c>
      <c r="O22" s="32" t="s">
        <v>75</v>
      </c>
      <c r="P22" s="32" t="s">
        <v>49</v>
      </c>
      <c r="Q22" s="32" t="s">
        <v>50</v>
      </c>
      <c r="R22" s="32" t="s">
        <v>53</v>
      </c>
      <c r="S22" s="32" t="s">
        <v>73</v>
      </c>
      <c r="T22" s="32" t="s">
        <v>53</v>
      </c>
      <c r="U22" s="32" t="s">
        <v>53</v>
      </c>
      <c r="V22" s="36" t="s">
        <v>131</v>
      </c>
      <c r="W22" s="33" t="n">
        <f aca="false">'Bol data'!C9</f>
        <v>1.88636363636364</v>
      </c>
      <c r="X22" s="37"/>
      <c r="Y22" s="38"/>
      <c r="AB22" s="39"/>
      <c r="AC22" s="39"/>
      <c r="AD22" s="39"/>
      <c r="AE22" s="39"/>
      <c r="AF22" s="39"/>
      <c r="AG22" s="39"/>
    </row>
    <row r="23" s="30" customFormat="true" ht="63" hidden="false" customHeight="false" outlineLevel="0" collapsed="false">
      <c r="A23" s="2"/>
      <c r="B23" s="35" t="s">
        <v>128</v>
      </c>
      <c r="C23" s="32" t="s">
        <v>129</v>
      </c>
      <c r="D23" s="32" t="n">
        <v>2013</v>
      </c>
      <c r="E23" s="31" t="s">
        <v>132</v>
      </c>
      <c r="F23" s="27" t="s">
        <v>45</v>
      </c>
      <c r="G23" s="32" t="s">
        <v>46</v>
      </c>
      <c r="H23" s="32" t="s">
        <v>47</v>
      </c>
      <c r="I23" s="32" t="s">
        <v>78</v>
      </c>
      <c r="J23" s="32" t="n">
        <v>65</v>
      </c>
      <c r="K23" s="32" t="s">
        <v>75</v>
      </c>
      <c r="L23" s="32" t="s">
        <v>75</v>
      </c>
      <c r="M23" s="32" t="s">
        <v>75</v>
      </c>
      <c r="N23" s="32" t="s">
        <v>75</v>
      </c>
      <c r="O23" s="32" t="s">
        <v>75</v>
      </c>
      <c r="P23" s="32" t="s">
        <v>49</v>
      </c>
      <c r="Q23" s="32" t="s">
        <v>50</v>
      </c>
      <c r="R23" s="32" t="s">
        <v>53</v>
      </c>
      <c r="S23" s="32" t="s">
        <v>73</v>
      </c>
      <c r="T23" s="32" t="s">
        <v>53</v>
      </c>
      <c r="U23" s="32" t="s">
        <v>53</v>
      </c>
      <c r="V23" s="36" t="s">
        <v>133</v>
      </c>
      <c r="W23" s="33" t="n">
        <f aca="false">'Bol data'!D9</f>
        <v>1.10328638497653</v>
      </c>
      <c r="X23" s="35"/>
      <c r="Y23" s="38"/>
      <c r="Z23" s="39"/>
      <c r="AA23" s="39"/>
      <c r="AB23" s="39"/>
      <c r="AC23" s="39"/>
      <c r="AD23" s="39"/>
      <c r="AE23" s="39"/>
      <c r="AF23" s="39"/>
      <c r="AG23" s="39"/>
    </row>
    <row r="24" s="30" customFormat="true" ht="63" hidden="false" customHeight="false" outlineLevel="0" collapsed="false">
      <c r="A24" s="2"/>
      <c r="B24" s="35" t="s">
        <v>128</v>
      </c>
      <c r="C24" s="32" t="s">
        <v>129</v>
      </c>
      <c r="D24" s="32" t="n">
        <v>2013</v>
      </c>
      <c r="E24" s="31" t="s">
        <v>134</v>
      </c>
      <c r="F24" s="27" t="s">
        <v>45</v>
      </c>
      <c r="G24" s="32" t="s">
        <v>46</v>
      </c>
      <c r="H24" s="32" t="s">
        <v>47</v>
      </c>
      <c r="I24" s="32" t="s">
        <v>78</v>
      </c>
      <c r="J24" s="32" t="n">
        <v>65</v>
      </c>
      <c r="K24" s="32" t="s">
        <v>75</v>
      </c>
      <c r="L24" s="32" t="s">
        <v>75</v>
      </c>
      <c r="M24" s="32" t="s">
        <v>75</v>
      </c>
      <c r="N24" s="32" t="s">
        <v>75</v>
      </c>
      <c r="O24" s="32" t="s">
        <v>75</v>
      </c>
      <c r="P24" s="32" t="s">
        <v>49</v>
      </c>
      <c r="Q24" s="32" t="s">
        <v>50</v>
      </c>
      <c r="R24" s="32" t="s">
        <v>53</v>
      </c>
      <c r="S24" s="32" t="s">
        <v>73</v>
      </c>
      <c r="T24" s="32" t="s">
        <v>53</v>
      </c>
      <c r="U24" s="32" t="s">
        <v>53</v>
      </c>
      <c r="V24" s="36" t="s">
        <v>135</v>
      </c>
      <c r="W24" s="33" t="n">
        <f aca="false">'Bol data'!E9</f>
        <v>2.12121212121212</v>
      </c>
      <c r="X24" s="35"/>
      <c r="Y24" s="38"/>
      <c r="Z24" s="39"/>
      <c r="AA24" s="39"/>
      <c r="AB24" s="39"/>
      <c r="AC24" s="39"/>
      <c r="AD24" s="39"/>
      <c r="AE24" s="39"/>
      <c r="AF24" s="39"/>
      <c r="AG24" s="39"/>
    </row>
    <row r="25" s="30" customFormat="true" ht="78.75" hidden="false" customHeight="false" outlineLevel="0" collapsed="false">
      <c r="A25" s="2"/>
      <c r="B25" s="2" t="s">
        <v>136</v>
      </c>
      <c r="C25" s="32" t="s">
        <v>137</v>
      </c>
      <c r="D25" s="3" t="n">
        <v>2013</v>
      </c>
      <c r="E25" s="20" t="s">
        <v>138</v>
      </c>
      <c r="F25" s="27" t="s">
        <v>45</v>
      </c>
      <c r="G25" s="3" t="s">
        <v>102</v>
      </c>
      <c r="H25" s="3" t="s">
        <v>75</v>
      </c>
      <c r="I25" s="3" t="s">
        <v>75</v>
      </c>
      <c r="J25" s="3" t="str">
        <f aca="false">'Jones data'!I6</f>
        <v>NA</v>
      </c>
      <c r="K25" s="3" t="s">
        <v>75</v>
      </c>
      <c r="L25" s="3" t="s">
        <v>75</v>
      </c>
      <c r="M25" s="3" t="s">
        <v>75</v>
      </c>
      <c r="N25" s="3" t="s">
        <v>75</v>
      </c>
      <c r="O25" s="3" t="s">
        <v>75</v>
      </c>
      <c r="P25" s="3" t="s">
        <v>119</v>
      </c>
      <c r="Q25" s="3" t="s">
        <v>56</v>
      </c>
      <c r="R25" s="3" t="s">
        <v>114</v>
      </c>
      <c r="S25" s="3" t="s">
        <v>73</v>
      </c>
      <c r="T25" s="3" t="s">
        <v>53</v>
      </c>
      <c r="U25" s="3" t="s">
        <v>47</v>
      </c>
      <c r="V25" s="4" t="s">
        <v>139</v>
      </c>
      <c r="W25" s="28" t="n">
        <f aca="false">'Jones data'!J6</f>
        <v>3.57</v>
      </c>
      <c r="X25" s="29"/>
      <c r="Y25" s="29"/>
      <c r="Z25" s="2"/>
      <c r="AA25" s="2"/>
      <c r="AB25" s="2"/>
      <c r="AC25" s="2"/>
      <c r="AD25" s="2"/>
      <c r="AE25" s="2"/>
      <c r="AF25" s="2"/>
      <c r="AG25" s="2"/>
    </row>
    <row r="26" s="30" customFormat="true" ht="78.75" hidden="false" customHeight="false" outlineLevel="0" collapsed="false">
      <c r="A26" s="35"/>
      <c r="B26" s="2" t="s">
        <v>136</v>
      </c>
      <c r="C26" s="32" t="s">
        <v>137</v>
      </c>
      <c r="D26" s="3" t="n">
        <v>2013</v>
      </c>
      <c r="E26" s="20" t="s">
        <v>138</v>
      </c>
      <c r="F26" s="27" t="s">
        <v>45</v>
      </c>
      <c r="G26" s="3" t="s">
        <v>102</v>
      </c>
      <c r="H26" s="3" t="s">
        <v>75</v>
      </c>
      <c r="I26" s="3" t="s">
        <v>75</v>
      </c>
      <c r="J26" s="3" t="str">
        <f aca="false">'Jones data'!I7</f>
        <v>NA</v>
      </c>
      <c r="K26" s="3" t="s">
        <v>75</v>
      </c>
      <c r="L26" s="3" t="s">
        <v>75</v>
      </c>
      <c r="M26" s="3" t="s">
        <v>75</v>
      </c>
      <c r="N26" s="3" t="s">
        <v>75</v>
      </c>
      <c r="O26" s="3" t="s">
        <v>75</v>
      </c>
      <c r="P26" s="3" t="s">
        <v>119</v>
      </c>
      <c r="Q26" s="3" t="s">
        <v>56</v>
      </c>
      <c r="R26" s="3" t="s">
        <v>114</v>
      </c>
      <c r="S26" s="3" t="s">
        <v>73</v>
      </c>
      <c r="T26" s="3" t="s">
        <v>53</v>
      </c>
      <c r="U26" s="3" t="s">
        <v>47</v>
      </c>
      <c r="V26" s="4" t="s">
        <v>139</v>
      </c>
      <c r="W26" s="28" t="n">
        <f aca="false">'Jones data'!J7</f>
        <v>5.41</v>
      </c>
      <c r="X26" s="29"/>
      <c r="Y26" s="29"/>
      <c r="Z26" s="2"/>
      <c r="AA26" s="2"/>
      <c r="AB26" s="2"/>
      <c r="AC26" s="2"/>
      <c r="AD26" s="2"/>
      <c r="AE26" s="2"/>
      <c r="AF26" s="2"/>
      <c r="AG26" s="2"/>
    </row>
    <row r="27" s="30" customFormat="true" ht="78.75" hidden="false" customHeight="false" outlineLevel="0" collapsed="false">
      <c r="A27" s="35"/>
      <c r="B27" s="2" t="s">
        <v>136</v>
      </c>
      <c r="C27" s="32" t="s">
        <v>137</v>
      </c>
      <c r="D27" s="3" t="n">
        <v>2013</v>
      </c>
      <c r="E27" s="20" t="s">
        <v>138</v>
      </c>
      <c r="F27" s="27" t="s">
        <v>45</v>
      </c>
      <c r="G27" s="3" t="s">
        <v>102</v>
      </c>
      <c r="H27" s="3" t="s">
        <v>75</v>
      </c>
      <c r="I27" s="3" t="s">
        <v>75</v>
      </c>
      <c r="J27" s="3" t="n">
        <f aca="false">'Jones data'!I8</f>
        <v>350</v>
      </c>
      <c r="K27" s="3" t="s">
        <v>75</v>
      </c>
      <c r="L27" s="3" t="s">
        <v>75</v>
      </c>
      <c r="M27" s="3" t="s">
        <v>75</v>
      </c>
      <c r="N27" s="3" t="s">
        <v>75</v>
      </c>
      <c r="O27" s="3" t="s">
        <v>75</v>
      </c>
      <c r="P27" s="3" t="s">
        <v>119</v>
      </c>
      <c r="Q27" s="3" t="s">
        <v>56</v>
      </c>
      <c r="R27" s="3" t="s">
        <v>114</v>
      </c>
      <c r="S27" s="3" t="s">
        <v>73</v>
      </c>
      <c r="T27" s="3" t="s">
        <v>53</v>
      </c>
      <c r="U27" s="3" t="s">
        <v>47</v>
      </c>
      <c r="V27" s="4" t="s">
        <v>139</v>
      </c>
      <c r="W27" s="28" t="n">
        <f aca="false">'Jones data'!J8</f>
        <v>6.6</v>
      </c>
      <c r="X27" s="29"/>
      <c r="Y27" s="29"/>
      <c r="Z27" s="2"/>
      <c r="AA27" s="2"/>
      <c r="AB27" s="2"/>
      <c r="AC27" s="2"/>
      <c r="AD27" s="2"/>
      <c r="AE27" s="2"/>
      <c r="AF27" s="2"/>
      <c r="AG27" s="2"/>
    </row>
    <row r="28" s="30" customFormat="true" ht="78.75" hidden="false" customHeight="false" outlineLevel="0" collapsed="false">
      <c r="A28" s="35"/>
      <c r="B28" s="2" t="s">
        <v>136</v>
      </c>
      <c r="C28" s="32" t="s">
        <v>137</v>
      </c>
      <c r="D28" s="3" t="n">
        <v>2013</v>
      </c>
      <c r="E28" s="20" t="s">
        <v>138</v>
      </c>
      <c r="F28" s="27" t="s">
        <v>45</v>
      </c>
      <c r="G28" s="3" t="s">
        <v>102</v>
      </c>
      <c r="H28" s="3" t="s">
        <v>75</v>
      </c>
      <c r="I28" s="3" t="s">
        <v>75</v>
      </c>
      <c r="J28" s="3" t="n">
        <f aca="false">'Jones data'!I9</f>
        <v>250</v>
      </c>
      <c r="K28" s="3" t="s">
        <v>75</v>
      </c>
      <c r="L28" s="3" t="s">
        <v>75</v>
      </c>
      <c r="M28" s="3" t="s">
        <v>75</v>
      </c>
      <c r="N28" s="3" t="s">
        <v>75</v>
      </c>
      <c r="O28" s="3" t="s">
        <v>75</v>
      </c>
      <c r="P28" s="3" t="s">
        <v>119</v>
      </c>
      <c r="Q28" s="3" t="s">
        <v>56</v>
      </c>
      <c r="R28" s="3" t="s">
        <v>114</v>
      </c>
      <c r="S28" s="3" t="s">
        <v>73</v>
      </c>
      <c r="T28" s="3" t="s">
        <v>53</v>
      </c>
      <c r="U28" s="3" t="s">
        <v>47</v>
      </c>
      <c r="V28" s="4" t="s">
        <v>139</v>
      </c>
      <c r="W28" s="28" t="n">
        <f aca="false">'Jones data'!J9</f>
        <v>4.7</v>
      </c>
      <c r="X28" s="29"/>
      <c r="Y28" s="29"/>
      <c r="Z28" s="2"/>
      <c r="AA28" s="2"/>
      <c r="AB28" s="2"/>
      <c r="AC28" s="2"/>
      <c r="AD28" s="2"/>
      <c r="AE28" s="2"/>
      <c r="AF28" s="2"/>
      <c r="AG28" s="2"/>
    </row>
    <row r="29" s="30" customFormat="true" ht="78.75" hidden="false" customHeight="false" outlineLevel="0" collapsed="false">
      <c r="A29" s="35"/>
      <c r="B29" s="2" t="s">
        <v>136</v>
      </c>
      <c r="C29" s="32" t="s">
        <v>137</v>
      </c>
      <c r="D29" s="3" t="n">
        <v>2013</v>
      </c>
      <c r="E29" s="20" t="s">
        <v>138</v>
      </c>
      <c r="F29" s="27" t="s">
        <v>45</v>
      </c>
      <c r="G29" s="3" t="s">
        <v>102</v>
      </c>
      <c r="H29" s="3" t="s">
        <v>75</v>
      </c>
      <c r="I29" s="3" t="s">
        <v>75</v>
      </c>
      <c r="J29" s="3" t="n">
        <f aca="false">'Jones data'!I10</f>
        <v>180</v>
      </c>
      <c r="K29" s="3" t="s">
        <v>75</v>
      </c>
      <c r="L29" s="3" t="s">
        <v>75</v>
      </c>
      <c r="M29" s="3" t="s">
        <v>75</v>
      </c>
      <c r="N29" s="3" t="s">
        <v>75</v>
      </c>
      <c r="O29" s="3" t="s">
        <v>75</v>
      </c>
      <c r="P29" s="3" t="s">
        <v>119</v>
      </c>
      <c r="Q29" s="3" t="s">
        <v>56</v>
      </c>
      <c r="R29" s="3" t="s">
        <v>114</v>
      </c>
      <c r="S29" s="3" t="s">
        <v>73</v>
      </c>
      <c r="T29" s="3" t="s">
        <v>53</v>
      </c>
      <c r="U29" s="3" t="s">
        <v>47</v>
      </c>
      <c r="V29" s="4" t="s">
        <v>139</v>
      </c>
      <c r="W29" s="28" t="n">
        <f aca="false">'Jones data'!J10</f>
        <v>4.8</v>
      </c>
      <c r="X29" s="29"/>
      <c r="Y29" s="29"/>
      <c r="Z29" s="2"/>
      <c r="AA29" s="2"/>
      <c r="AB29" s="2"/>
      <c r="AC29" s="2"/>
      <c r="AD29" s="2"/>
      <c r="AE29" s="2"/>
      <c r="AF29" s="2"/>
      <c r="AG29" s="2"/>
    </row>
    <row r="30" s="30" customFormat="true" ht="78.75" hidden="false" customHeight="false" outlineLevel="0" collapsed="false">
      <c r="A30" s="35"/>
      <c r="B30" s="2" t="s">
        <v>136</v>
      </c>
      <c r="C30" s="32" t="s">
        <v>137</v>
      </c>
      <c r="D30" s="3" t="n">
        <v>2013</v>
      </c>
      <c r="E30" s="20" t="s">
        <v>138</v>
      </c>
      <c r="F30" s="27" t="s">
        <v>45</v>
      </c>
      <c r="G30" s="3" t="s">
        <v>102</v>
      </c>
      <c r="H30" s="3" t="s">
        <v>75</v>
      </c>
      <c r="I30" s="3" t="s">
        <v>75</v>
      </c>
      <c r="J30" s="3" t="n">
        <f aca="false">'Jones data'!I11</f>
        <v>130</v>
      </c>
      <c r="K30" s="3" t="s">
        <v>75</v>
      </c>
      <c r="L30" s="3" t="s">
        <v>75</v>
      </c>
      <c r="M30" s="3" t="s">
        <v>75</v>
      </c>
      <c r="N30" s="3" t="s">
        <v>75</v>
      </c>
      <c r="O30" s="3" t="s">
        <v>75</v>
      </c>
      <c r="P30" s="3" t="s">
        <v>119</v>
      </c>
      <c r="Q30" s="3" t="s">
        <v>56</v>
      </c>
      <c r="R30" s="3" t="s">
        <v>114</v>
      </c>
      <c r="S30" s="3" t="s">
        <v>73</v>
      </c>
      <c r="T30" s="3" t="s">
        <v>53</v>
      </c>
      <c r="U30" s="3" t="s">
        <v>47</v>
      </c>
      <c r="V30" s="4" t="s">
        <v>139</v>
      </c>
      <c r="W30" s="28" t="n">
        <f aca="false">'Jones data'!J11</f>
        <v>3.6</v>
      </c>
      <c r="X30" s="29"/>
      <c r="Y30" s="29"/>
      <c r="Z30" s="2"/>
      <c r="AA30" s="2"/>
      <c r="AB30" s="2"/>
      <c r="AC30" s="2"/>
      <c r="AD30" s="2"/>
      <c r="AE30" s="2"/>
      <c r="AF30" s="2"/>
      <c r="AG30" s="2"/>
    </row>
    <row r="31" s="30" customFormat="true" ht="78.75" hidden="false" customHeight="false" outlineLevel="0" collapsed="false">
      <c r="A31" s="35"/>
      <c r="B31" s="2" t="s">
        <v>136</v>
      </c>
      <c r="C31" s="32" t="s">
        <v>137</v>
      </c>
      <c r="D31" s="3" t="n">
        <v>2013</v>
      </c>
      <c r="E31" s="20" t="s">
        <v>138</v>
      </c>
      <c r="F31" s="27" t="s">
        <v>45</v>
      </c>
      <c r="G31" s="3" t="s">
        <v>102</v>
      </c>
      <c r="H31" s="3" t="s">
        <v>75</v>
      </c>
      <c r="I31" s="3" t="s">
        <v>75</v>
      </c>
      <c r="J31" s="3" t="n">
        <f aca="false">'Jones data'!I12</f>
        <v>90</v>
      </c>
      <c r="K31" s="3" t="s">
        <v>75</v>
      </c>
      <c r="L31" s="3" t="s">
        <v>75</v>
      </c>
      <c r="M31" s="3" t="s">
        <v>75</v>
      </c>
      <c r="N31" s="3" t="s">
        <v>75</v>
      </c>
      <c r="O31" s="3" t="s">
        <v>75</v>
      </c>
      <c r="P31" s="3" t="s">
        <v>119</v>
      </c>
      <c r="Q31" s="3" t="s">
        <v>56</v>
      </c>
      <c r="R31" s="3" t="s">
        <v>114</v>
      </c>
      <c r="S31" s="3" t="s">
        <v>73</v>
      </c>
      <c r="T31" s="3" t="s">
        <v>53</v>
      </c>
      <c r="U31" s="3" t="s">
        <v>47</v>
      </c>
      <c r="V31" s="4" t="s">
        <v>139</v>
      </c>
      <c r="W31" s="28" t="n">
        <f aca="false">'Jones data'!J12</f>
        <v>4.3</v>
      </c>
      <c r="X31" s="29"/>
      <c r="Y31" s="29"/>
      <c r="Z31" s="2"/>
      <c r="AA31" s="2"/>
      <c r="AB31" s="2"/>
      <c r="AC31" s="2"/>
      <c r="AD31" s="2"/>
      <c r="AE31" s="2"/>
      <c r="AF31" s="2"/>
      <c r="AG31" s="2"/>
    </row>
    <row r="32" s="30" customFormat="true" ht="78.75" hidden="false" customHeight="false" outlineLevel="0" collapsed="false">
      <c r="A32" s="35"/>
      <c r="B32" s="2" t="s">
        <v>136</v>
      </c>
      <c r="C32" s="32" t="s">
        <v>137</v>
      </c>
      <c r="D32" s="3" t="n">
        <v>2013</v>
      </c>
      <c r="E32" s="20" t="s">
        <v>138</v>
      </c>
      <c r="F32" s="27" t="s">
        <v>45</v>
      </c>
      <c r="G32" s="3" t="s">
        <v>102</v>
      </c>
      <c r="H32" s="3" t="s">
        <v>75</v>
      </c>
      <c r="I32" s="3" t="s">
        <v>75</v>
      </c>
      <c r="J32" s="3" t="n">
        <f aca="false">'Jones data'!I13</f>
        <v>65</v>
      </c>
      <c r="K32" s="3" t="s">
        <v>75</v>
      </c>
      <c r="L32" s="3" t="s">
        <v>75</v>
      </c>
      <c r="M32" s="3" t="s">
        <v>75</v>
      </c>
      <c r="N32" s="3" t="s">
        <v>75</v>
      </c>
      <c r="O32" s="3" t="s">
        <v>75</v>
      </c>
      <c r="P32" s="3" t="s">
        <v>119</v>
      </c>
      <c r="Q32" s="3" t="s">
        <v>56</v>
      </c>
      <c r="R32" s="3" t="s">
        <v>114</v>
      </c>
      <c r="S32" s="3" t="s">
        <v>73</v>
      </c>
      <c r="T32" s="3" t="s">
        <v>53</v>
      </c>
      <c r="U32" s="3" t="s">
        <v>47</v>
      </c>
      <c r="V32" s="4" t="s">
        <v>139</v>
      </c>
      <c r="W32" s="28" t="n">
        <f aca="false">'Jones data'!J13</f>
        <v>4.3</v>
      </c>
      <c r="X32" s="29"/>
      <c r="Y32" s="29"/>
      <c r="Z32" s="2"/>
      <c r="AA32" s="2"/>
      <c r="AB32" s="2"/>
      <c r="AC32" s="2"/>
      <c r="AD32" s="2"/>
      <c r="AE32" s="2"/>
      <c r="AF32" s="2"/>
      <c r="AG32" s="2"/>
    </row>
    <row r="33" s="30" customFormat="true" ht="78.75" hidden="false" customHeight="false" outlineLevel="0" collapsed="false">
      <c r="A33" s="35"/>
      <c r="B33" s="2" t="s">
        <v>136</v>
      </c>
      <c r="C33" s="32" t="s">
        <v>137</v>
      </c>
      <c r="D33" s="3" t="n">
        <v>2013</v>
      </c>
      <c r="E33" s="20" t="s">
        <v>138</v>
      </c>
      <c r="F33" s="27" t="s">
        <v>45</v>
      </c>
      <c r="G33" s="3" t="s">
        <v>102</v>
      </c>
      <c r="H33" s="3" t="s">
        <v>75</v>
      </c>
      <c r="I33" s="3" t="s">
        <v>75</v>
      </c>
      <c r="J33" s="3" t="n">
        <f aca="false">'Jones data'!I14</f>
        <v>45</v>
      </c>
      <c r="K33" s="3" t="s">
        <v>75</v>
      </c>
      <c r="L33" s="3" t="s">
        <v>75</v>
      </c>
      <c r="M33" s="3" t="s">
        <v>75</v>
      </c>
      <c r="N33" s="3" t="s">
        <v>75</v>
      </c>
      <c r="O33" s="3" t="s">
        <v>75</v>
      </c>
      <c r="P33" s="3" t="s">
        <v>119</v>
      </c>
      <c r="Q33" s="3" t="s">
        <v>56</v>
      </c>
      <c r="R33" s="3" t="s">
        <v>114</v>
      </c>
      <c r="S33" s="3" t="s">
        <v>73</v>
      </c>
      <c r="T33" s="3" t="s">
        <v>53</v>
      </c>
      <c r="U33" s="3" t="s">
        <v>47</v>
      </c>
      <c r="V33" s="4" t="s">
        <v>139</v>
      </c>
      <c r="W33" s="28" t="n">
        <f aca="false">'Jones data'!J14</f>
        <v>5.4</v>
      </c>
      <c r="X33" s="29"/>
      <c r="Y33" s="29"/>
      <c r="Z33" s="2"/>
      <c r="AA33" s="2"/>
      <c r="AB33" s="2"/>
      <c r="AC33" s="2"/>
      <c r="AD33" s="2"/>
      <c r="AE33" s="2"/>
      <c r="AF33" s="2"/>
      <c r="AG33" s="2"/>
    </row>
    <row r="34" s="30" customFormat="true" ht="63" hidden="false" customHeight="false" outlineLevel="0" collapsed="false">
      <c r="A34" s="35"/>
      <c r="B34" s="2" t="s">
        <v>140</v>
      </c>
      <c r="C34" s="32" t="s">
        <v>141</v>
      </c>
      <c r="D34" s="3" t="n">
        <v>2020</v>
      </c>
      <c r="E34" s="20" t="s">
        <v>142</v>
      </c>
      <c r="F34" s="27" t="s">
        <v>45</v>
      </c>
      <c r="G34" s="3" t="s">
        <v>46</v>
      </c>
      <c r="H34" s="3" t="s">
        <v>74</v>
      </c>
      <c r="I34" s="3" t="s">
        <v>53</v>
      </c>
      <c r="J34" s="32" t="n">
        <v>28</v>
      </c>
      <c r="K34" s="3" t="n">
        <v>300</v>
      </c>
      <c r="L34" s="3" t="s">
        <v>53</v>
      </c>
      <c r="M34" s="3" t="s">
        <v>73</v>
      </c>
      <c r="N34" s="3" t="s">
        <v>75</v>
      </c>
      <c r="O34" s="3" t="s">
        <v>143</v>
      </c>
      <c r="P34" s="3" t="s">
        <v>89</v>
      </c>
      <c r="Q34" s="3" t="s">
        <v>50</v>
      </c>
      <c r="R34" s="3" t="s">
        <v>47</v>
      </c>
      <c r="S34" s="3" t="s">
        <v>73</v>
      </c>
      <c r="T34" s="3" t="s">
        <v>47</v>
      </c>
      <c r="U34" s="3" t="s">
        <v>47</v>
      </c>
      <c r="V34" s="4" t="s">
        <v>144</v>
      </c>
      <c r="W34" s="33" t="n">
        <f aca="false">'Bardon data'!C8</f>
        <v>0.923</v>
      </c>
      <c r="X34" s="29"/>
      <c r="Y34" s="29"/>
      <c r="Z34" s="2"/>
      <c r="AA34" s="2"/>
      <c r="AB34" s="2"/>
      <c r="AC34" s="2"/>
      <c r="AD34" s="2"/>
      <c r="AE34" s="2"/>
      <c r="AF34" s="2"/>
      <c r="AG34" s="2"/>
    </row>
    <row r="35" s="30" customFormat="true" ht="63" hidden="false" customHeight="false" outlineLevel="0" collapsed="false">
      <c r="A35" s="35"/>
      <c r="B35" s="2" t="s">
        <v>140</v>
      </c>
      <c r="C35" s="32" t="s">
        <v>141</v>
      </c>
      <c r="D35" s="3" t="n">
        <v>2020</v>
      </c>
      <c r="E35" s="20" t="s">
        <v>142</v>
      </c>
      <c r="F35" s="27" t="s">
        <v>45</v>
      </c>
      <c r="G35" s="3" t="s">
        <v>46</v>
      </c>
      <c r="H35" s="3" t="s">
        <v>74</v>
      </c>
      <c r="I35" s="3" t="s">
        <v>53</v>
      </c>
      <c r="J35" s="32" t="n">
        <v>20</v>
      </c>
      <c r="K35" s="3" t="n">
        <v>300</v>
      </c>
      <c r="L35" s="3" t="s">
        <v>53</v>
      </c>
      <c r="M35" s="3" t="s">
        <v>73</v>
      </c>
      <c r="N35" s="3" t="s">
        <v>75</v>
      </c>
      <c r="O35" s="3" t="s">
        <v>143</v>
      </c>
      <c r="P35" s="3" t="s">
        <v>89</v>
      </c>
      <c r="Q35" s="3" t="s">
        <v>50</v>
      </c>
      <c r="R35" s="3" t="s">
        <v>47</v>
      </c>
      <c r="S35" s="3" t="s">
        <v>73</v>
      </c>
      <c r="T35" s="3" t="s">
        <v>47</v>
      </c>
      <c r="U35" s="3" t="s">
        <v>47</v>
      </c>
      <c r="V35" s="4" t="s">
        <v>145</v>
      </c>
      <c r="W35" s="33" t="n">
        <f aca="false">'Bardon data'!D8</f>
        <v>1.094</v>
      </c>
      <c r="X35" s="29"/>
      <c r="Y35" s="29"/>
      <c r="Z35" s="2"/>
      <c r="AA35" s="2"/>
      <c r="AB35" s="2"/>
      <c r="AC35" s="2"/>
      <c r="AD35" s="2"/>
      <c r="AE35" s="2"/>
      <c r="AF35" s="2"/>
      <c r="AG35" s="2"/>
    </row>
    <row r="36" s="30" customFormat="true" ht="63" hidden="false" customHeight="false" outlineLevel="0" collapsed="false">
      <c r="A36" s="35"/>
      <c r="B36" s="2" t="s">
        <v>140</v>
      </c>
      <c r="C36" s="32" t="s">
        <v>141</v>
      </c>
      <c r="D36" s="3" t="n">
        <v>2020</v>
      </c>
      <c r="E36" s="20" t="s">
        <v>142</v>
      </c>
      <c r="F36" s="27" t="s">
        <v>45</v>
      </c>
      <c r="G36" s="3" t="s">
        <v>46</v>
      </c>
      <c r="H36" s="3" t="s">
        <v>74</v>
      </c>
      <c r="I36" s="3" t="s">
        <v>53</v>
      </c>
      <c r="J36" s="32" t="n">
        <v>14</v>
      </c>
      <c r="K36" s="3" t="n">
        <v>300</v>
      </c>
      <c r="L36" s="3" t="s">
        <v>53</v>
      </c>
      <c r="M36" s="3" t="s">
        <v>73</v>
      </c>
      <c r="N36" s="3" t="s">
        <v>75</v>
      </c>
      <c r="O36" s="3" t="s">
        <v>143</v>
      </c>
      <c r="P36" s="3" t="s">
        <v>89</v>
      </c>
      <c r="Q36" s="3" t="s">
        <v>50</v>
      </c>
      <c r="R36" s="3" t="s">
        <v>47</v>
      </c>
      <c r="S36" s="3" t="s">
        <v>73</v>
      </c>
      <c r="T36" s="3" t="s">
        <v>47</v>
      </c>
      <c r="U36" s="3" t="s">
        <v>47</v>
      </c>
      <c r="V36" s="4" t="s">
        <v>145</v>
      </c>
      <c r="W36" s="33" t="n">
        <f aca="false">'Bardon data'!E8</f>
        <v>1.085</v>
      </c>
      <c r="X36" s="29"/>
      <c r="Y36" s="29"/>
      <c r="Z36" s="2"/>
      <c r="AA36" s="2"/>
      <c r="AB36" s="2"/>
      <c r="AC36" s="2"/>
      <c r="AD36" s="2"/>
      <c r="AE36" s="2"/>
      <c r="AF36" s="2"/>
      <c r="AG36" s="2"/>
    </row>
    <row r="37" s="30" customFormat="true" ht="63" hidden="false" customHeight="false" outlineLevel="0" collapsed="false">
      <c r="A37" s="35"/>
      <c r="B37" s="2" t="s">
        <v>140</v>
      </c>
      <c r="C37" s="32" t="s">
        <v>141</v>
      </c>
      <c r="D37" s="3" t="n">
        <v>2020</v>
      </c>
      <c r="E37" s="20" t="s">
        <v>142</v>
      </c>
      <c r="F37" s="27" t="s">
        <v>45</v>
      </c>
      <c r="G37" s="3" t="s">
        <v>46</v>
      </c>
      <c r="H37" s="3" t="s">
        <v>74</v>
      </c>
      <c r="I37" s="3" t="s">
        <v>53</v>
      </c>
      <c r="J37" s="32" t="n">
        <v>10</v>
      </c>
      <c r="K37" s="3" t="n">
        <v>300</v>
      </c>
      <c r="L37" s="3" t="s">
        <v>53</v>
      </c>
      <c r="M37" s="3" t="s">
        <v>73</v>
      </c>
      <c r="N37" s="3" t="s">
        <v>75</v>
      </c>
      <c r="O37" s="3" t="s">
        <v>143</v>
      </c>
      <c r="P37" s="3" t="s">
        <v>89</v>
      </c>
      <c r="Q37" s="3" t="s">
        <v>50</v>
      </c>
      <c r="R37" s="3" t="s">
        <v>47</v>
      </c>
      <c r="S37" s="3" t="s">
        <v>73</v>
      </c>
      <c r="T37" s="3" t="s">
        <v>47</v>
      </c>
      <c r="U37" s="3" t="s">
        <v>47</v>
      </c>
      <c r="V37" s="4" t="s">
        <v>145</v>
      </c>
      <c r="W37" s="33" t="n">
        <f aca="false">'Bardon data'!F8</f>
        <v>1.403</v>
      </c>
      <c r="X37" s="29"/>
      <c r="Y37" s="29"/>
      <c r="Z37" s="2"/>
      <c r="AA37" s="2"/>
      <c r="AB37" s="2"/>
      <c r="AC37" s="2"/>
      <c r="AD37" s="2"/>
      <c r="AE37" s="2"/>
      <c r="AF37" s="2"/>
      <c r="AG37" s="2"/>
    </row>
    <row r="38" s="30" customFormat="true" ht="63" hidden="false" customHeight="false" outlineLevel="0" collapsed="false">
      <c r="A38" s="35"/>
      <c r="B38" s="2" t="s">
        <v>140</v>
      </c>
      <c r="C38" s="32" t="s">
        <v>141</v>
      </c>
      <c r="D38" s="3" t="n">
        <v>2020</v>
      </c>
      <c r="E38" s="20" t="s">
        <v>142</v>
      </c>
      <c r="F38" s="27" t="s">
        <v>45</v>
      </c>
      <c r="G38" s="3" t="s">
        <v>46</v>
      </c>
      <c r="H38" s="3" t="s">
        <v>74</v>
      </c>
      <c r="I38" s="3" t="s">
        <v>53</v>
      </c>
      <c r="J38" s="32" t="n">
        <v>8</v>
      </c>
      <c r="K38" s="3" t="n">
        <v>300</v>
      </c>
      <c r="L38" s="3" t="s">
        <v>53</v>
      </c>
      <c r="M38" s="3" t="s">
        <v>73</v>
      </c>
      <c r="N38" s="3" t="s">
        <v>75</v>
      </c>
      <c r="O38" s="3" t="s">
        <v>143</v>
      </c>
      <c r="P38" s="3" t="s">
        <v>89</v>
      </c>
      <c r="Q38" s="3" t="s">
        <v>50</v>
      </c>
      <c r="R38" s="3" t="s">
        <v>47</v>
      </c>
      <c r="S38" s="3" t="s">
        <v>73</v>
      </c>
      <c r="T38" s="3" t="s">
        <v>47</v>
      </c>
      <c r="U38" s="3" t="s">
        <v>47</v>
      </c>
      <c r="V38" s="4" t="s">
        <v>145</v>
      </c>
      <c r="W38" s="33" t="n">
        <f aca="false">'Bardon data'!G8</f>
        <v>1.534</v>
      </c>
      <c r="X38" s="29"/>
      <c r="Y38" s="29"/>
      <c r="Z38" s="2"/>
      <c r="AA38" s="2"/>
      <c r="AB38" s="2"/>
      <c r="AC38" s="2"/>
      <c r="AD38" s="2"/>
      <c r="AE38" s="2"/>
      <c r="AF38" s="2"/>
      <c r="AG38" s="2"/>
    </row>
    <row r="39" s="30" customFormat="true" ht="63" hidden="false" customHeight="false" outlineLevel="0" collapsed="false">
      <c r="A39" s="35"/>
      <c r="B39" s="2" t="s">
        <v>140</v>
      </c>
      <c r="C39" s="32" t="s">
        <v>141</v>
      </c>
      <c r="D39" s="3" t="n">
        <v>2020</v>
      </c>
      <c r="E39" s="20" t="s">
        <v>142</v>
      </c>
      <c r="F39" s="27" t="s">
        <v>45</v>
      </c>
      <c r="G39" s="3" t="s">
        <v>46</v>
      </c>
      <c r="H39" s="3" t="s">
        <v>74</v>
      </c>
      <c r="I39" s="3" t="s">
        <v>53</v>
      </c>
      <c r="J39" s="32" t="n">
        <v>7</v>
      </c>
      <c r="K39" s="3" t="n">
        <v>300</v>
      </c>
      <c r="L39" s="3" t="s">
        <v>53</v>
      </c>
      <c r="M39" s="3" t="s">
        <v>73</v>
      </c>
      <c r="N39" s="3" t="s">
        <v>75</v>
      </c>
      <c r="O39" s="3" t="s">
        <v>143</v>
      </c>
      <c r="P39" s="3" t="s">
        <v>89</v>
      </c>
      <c r="Q39" s="3" t="s">
        <v>50</v>
      </c>
      <c r="R39" s="3" t="s">
        <v>47</v>
      </c>
      <c r="S39" s="3" t="s">
        <v>73</v>
      </c>
      <c r="T39" s="3" t="s">
        <v>47</v>
      </c>
      <c r="U39" s="3" t="s">
        <v>47</v>
      </c>
      <c r="V39" s="4" t="s">
        <v>145</v>
      </c>
      <c r="W39" s="33" t="n">
        <f aca="false">'Bardon data'!H8</f>
        <v>1.995</v>
      </c>
      <c r="X39" s="29"/>
      <c r="Y39" s="29"/>
      <c r="Z39" s="2"/>
      <c r="AA39" s="2"/>
      <c r="AB39" s="2"/>
      <c r="AC39" s="2"/>
      <c r="AD39" s="2"/>
      <c r="AE39" s="2"/>
      <c r="AF39" s="2"/>
      <c r="AG39" s="2"/>
    </row>
    <row r="40" s="30" customFormat="true" ht="63" hidden="false" customHeight="false" outlineLevel="0" collapsed="false">
      <c r="A40" s="35"/>
      <c r="B40" s="2" t="s">
        <v>140</v>
      </c>
      <c r="C40" s="32" t="s">
        <v>141</v>
      </c>
      <c r="D40" s="3" t="n">
        <v>2020</v>
      </c>
      <c r="E40" s="20" t="s">
        <v>142</v>
      </c>
      <c r="F40" s="27" t="s">
        <v>45</v>
      </c>
      <c r="G40" s="3" t="s">
        <v>46</v>
      </c>
      <c r="H40" s="3" t="s">
        <v>74</v>
      </c>
      <c r="I40" s="3" t="s">
        <v>53</v>
      </c>
      <c r="J40" s="32" t="n">
        <v>6</v>
      </c>
      <c r="K40" s="3" t="n">
        <v>300</v>
      </c>
      <c r="L40" s="3" t="s">
        <v>53</v>
      </c>
      <c r="M40" s="3" t="s">
        <v>73</v>
      </c>
      <c r="N40" s="3" t="s">
        <v>75</v>
      </c>
      <c r="O40" s="3" t="s">
        <v>143</v>
      </c>
      <c r="P40" s="3" t="s">
        <v>89</v>
      </c>
      <c r="Q40" s="3" t="s">
        <v>50</v>
      </c>
      <c r="R40" s="3" t="s">
        <v>47</v>
      </c>
      <c r="S40" s="3" t="s">
        <v>73</v>
      </c>
      <c r="T40" s="3" t="s">
        <v>47</v>
      </c>
      <c r="U40" s="3" t="s">
        <v>47</v>
      </c>
      <c r="V40" s="4" t="s">
        <v>145</v>
      </c>
      <c r="W40" s="33" t="n">
        <f aca="false">'Bardon data'!H8</f>
        <v>1.995</v>
      </c>
      <c r="X40" s="29"/>
      <c r="Y40" s="29"/>
      <c r="Z40" s="2"/>
      <c r="AA40" s="2"/>
      <c r="AB40" s="2"/>
      <c r="AC40" s="2"/>
      <c r="AD40" s="2"/>
      <c r="AE40" s="2"/>
      <c r="AF40" s="2"/>
      <c r="AG40" s="2"/>
    </row>
    <row r="41" s="30" customFormat="true" ht="63" hidden="false" customHeight="false" outlineLevel="0" collapsed="false">
      <c r="A41" s="35"/>
      <c r="B41" s="2" t="s">
        <v>140</v>
      </c>
      <c r="C41" s="32" t="s">
        <v>141</v>
      </c>
      <c r="D41" s="3" t="n">
        <v>2020</v>
      </c>
      <c r="E41" s="20" t="s">
        <v>142</v>
      </c>
      <c r="F41" s="27" t="s">
        <v>45</v>
      </c>
      <c r="G41" s="3" t="s">
        <v>46</v>
      </c>
      <c r="H41" s="3" t="s">
        <v>74</v>
      </c>
      <c r="I41" s="3" t="s">
        <v>53</v>
      </c>
      <c r="J41" s="32" t="n">
        <v>5</v>
      </c>
      <c r="K41" s="3" t="n">
        <v>300</v>
      </c>
      <c r="L41" s="3" t="s">
        <v>53</v>
      </c>
      <c r="M41" s="3" t="s">
        <v>73</v>
      </c>
      <c r="N41" s="3" t="s">
        <v>75</v>
      </c>
      <c r="O41" s="3" t="s">
        <v>143</v>
      </c>
      <c r="P41" s="3" t="s">
        <v>89</v>
      </c>
      <c r="Q41" s="3" t="s">
        <v>50</v>
      </c>
      <c r="R41" s="3" t="s">
        <v>47</v>
      </c>
      <c r="S41" s="3" t="s">
        <v>73</v>
      </c>
      <c r="T41" s="3" t="s">
        <v>47</v>
      </c>
      <c r="U41" s="3" t="s">
        <v>47</v>
      </c>
      <c r="V41" s="4" t="s">
        <v>145</v>
      </c>
      <c r="W41" s="33" t="n">
        <f aca="false">'Bardon data'!J8</f>
        <v>2.687</v>
      </c>
      <c r="X41" s="29"/>
      <c r="Y41" s="29"/>
      <c r="Z41" s="2"/>
      <c r="AA41" s="2"/>
      <c r="AB41" s="2"/>
      <c r="AC41" s="2"/>
      <c r="AD41" s="2"/>
      <c r="AE41" s="2"/>
      <c r="AF41" s="2"/>
      <c r="AG41" s="2"/>
    </row>
    <row r="42" s="30" customFormat="true" ht="63" hidden="false" customHeight="false" outlineLevel="0" collapsed="false">
      <c r="A42" s="35"/>
      <c r="B42" s="2" t="s">
        <v>140</v>
      </c>
      <c r="C42" s="32" t="s">
        <v>141</v>
      </c>
      <c r="D42" s="3" t="n">
        <v>2020</v>
      </c>
      <c r="E42" s="20" t="s">
        <v>142</v>
      </c>
      <c r="F42" s="27" t="s">
        <v>45</v>
      </c>
      <c r="G42" s="3" t="s">
        <v>46</v>
      </c>
      <c r="H42" s="3" t="s">
        <v>74</v>
      </c>
      <c r="I42" s="3" t="s">
        <v>53</v>
      </c>
      <c r="J42" s="32" t="n">
        <v>3</v>
      </c>
      <c r="K42" s="3" t="n">
        <v>300</v>
      </c>
      <c r="L42" s="3" t="s">
        <v>53</v>
      </c>
      <c r="M42" s="3" t="s">
        <v>73</v>
      </c>
      <c r="N42" s="3" t="s">
        <v>75</v>
      </c>
      <c r="O42" s="3" t="s">
        <v>143</v>
      </c>
      <c r="P42" s="3" t="s">
        <v>89</v>
      </c>
      <c r="Q42" s="3" t="s">
        <v>50</v>
      </c>
      <c r="R42" s="3" t="s">
        <v>47</v>
      </c>
      <c r="S42" s="3" t="s">
        <v>73</v>
      </c>
      <c r="T42" s="3" t="s">
        <v>47</v>
      </c>
      <c r="U42" s="3" t="s">
        <v>47</v>
      </c>
      <c r="V42" s="4" t="s">
        <v>145</v>
      </c>
      <c r="W42" s="33" t="n">
        <f aca="false">'Bardon data'!K8</f>
        <v>3.048</v>
      </c>
      <c r="X42" s="29"/>
      <c r="Y42" s="29"/>
      <c r="Z42" s="2"/>
      <c r="AA42" s="2"/>
      <c r="AB42" s="2"/>
      <c r="AC42" s="2"/>
      <c r="AD42" s="2"/>
      <c r="AE42" s="2"/>
      <c r="AF42" s="2"/>
      <c r="AG42" s="2"/>
    </row>
    <row r="43" s="30" customFormat="true" ht="126" hidden="false" customHeight="false" outlineLevel="0" collapsed="false">
      <c r="A43" s="35"/>
      <c r="B43" s="35" t="s">
        <v>146</v>
      </c>
      <c r="C43" s="32" t="s">
        <v>147</v>
      </c>
      <c r="D43" s="32" t="n">
        <v>2014</v>
      </c>
      <c r="E43" s="31" t="s">
        <v>148</v>
      </c>
      <c r="F43" s="27" t="s">
        <v>45</v>
      </c>
      <c r="G43" s="32" t="s">
        <v>75</v>
      </c>
      <c r="H43" s="32" t="s">
        <v>75</v>
      </c>
      <c r="I43" s="32" t="s">
        <v>82</v>
      </c>
      <c r="J43" s="32" t="s">
        <v>75</v>
      </c>
      <c r="K43" s="32" t="s">
        <v>75</v>
      </c>
      <c r="L43" s="32" t="s">
        <v>75</v>
      </c>
      <c r="M43" s="32" t="s">
        <v>75</v>
      </c>
      <c r="N43" s="32" t="s">
        <v>47</v>
      </c>
      <c r="O43" s="32" t="s">
        <v>108</v>
      </c>
      <c r="P43" s="32" t="s">
        <v>119</v>
      </c>
      <c r="Q43" s="32" t="s">
        <v>61</v>
      </c>
      <c r="R43" s="32" t="s">
        <v>53</v>
      </c>
      <c r="S43" s="32" t="s">
        <v>73</v>
      </c>
      <c r="T43" s="32" t="s">
        <v>53</v>
      </c>
      <c r="U43" s="32" t="s">
        <v>53</v>
      </c>
      <c r="V43" s="36" t="s">
        <v>149</v>
      </c>
      <c r="W43" s="33" t="n">
        <f aca="false">'Teehan data'!J23</f>
        <v>3.59908883826879</v>
      </c>
      <c r="X43" s="37"/>
      <c r="Y43" s="37"/>
      <c r="Z43" s="35"/>
      <c r="AA43" s="35"/>
      <c r="AB43" s="35"/>
      <c r="AC43" s="35"/>
      <c r="AD43" s="35"/>
      <c r="AE43" s="35"/>
      <c r="AF43" s="35"/>
      <c r="AG43" s="35"/>
    </row>
    <row r="44" s="30" customFormat="true" ht="126" hidden="false" customHeight="false" outlineLevel="0" collapsed="false">
      <c r="A44" s="35"/>
      <c r="B44" s="35" t="s">
        <v>146</v>
      </c>
      <c r="C44" s="32" t="s">
        <v>147</v>
      </c>
      <c r="D44" s="32" t="n">
        <v>2014</v>
      </c>
      <c r="E44" s="31" t="s">
        <v>148</v>
      </c>
      <c r="F44" s="27" t="s">
        <v>45</v>
      </c>
      <c r="G44" s="32" t="s">
        <v>75</v>
      </c>
      <c r="H44" s="32" t="s">
        <v>75</v>
      </c>
      <c r="I44" s="32" t="s">
        <v>82</v>
      </c>
      <c r="J44" s="32" t="s">
        <v>75</v>
      </c>
      <c r="K44" s="32" t="s">
        <v>75</v>
      </c>
      <c r="L44" s="32" t="s">
        <v>75</v>
      </c>
      <c r="M44" s="32" t="s">
        <v>75</v>
      </c>
      <c r="N44" s="32" t="s">
        <v>47</v>
      </c>
      <c r="O44" s="32" t="s">
        <v>108</v>
      </c>
      <c r="P44" s="32" t="s">
        <v>119</v>
      </c>
      <c r="Q44" s="32" t="s">
        <v>61</v>
      </c>
      <c r="R44" s="32" t="s">
        <v>53</v>
      </c>
      <c r="S44" s="32" t="s">
        <v>73</v>
      </c>
      <c r="T44" s="32" t="s">
        <v>53</v>
      </c>
      <c r="U44" s="32" t="s">
        <v>53</v>
      </c>
      <c r="V44" s="36" t="s">
        <v>149</v>
      </c>
      <c r="W44" s="33" t="n">
        <f aca="false">'Teehan data'!J24</f>
        <v>5.45454545454545</v>
      </c>
      <c r="X44" s="37"/>
      <c r="Y44" s="37"/>
      <c r="Z44" s="35"/>
      <c r="AA44" s="35"/>
      <c r="AB44" s="35"/>
      <c r="AC44" s="35"/>
      <c r="AD44" s="35"/>
      <c r="AE44" s="35"/>
      <c r="AF44" s="35"/>
      <c r="AG44" s="35"/>
    </row>
    <row r="45" s="30" customFormat="true" ht="63" hidden="false" customHeight="false" outlineLevel="0" collapsed="false">
      <c r="A45" s="2"/>
      <c r="B45" s="35" t="s">
        <v>146</v>
      </c>
      <c r="C45" s="32" t="s">
        <v>147</v>
      </c>
      <c r="D45" s="32" t="n">
        <v>2014</v>
      </c>
      <c r="E45" s="31" t="s">
        <v>148</v>
      </c>
      <c r="F45" s="27" t="s">
        <v>45</v>
      </c>
      <c r="G45" s="32" t="s">
        <v>75</v>
      </c>
      <c r="H45" s="32" t="s">
        <v>75</v>
      </c>
      <c r="I45" s="32" t="s">
        <v>82</v>
      </c>
      <c r="J45" s="32" t="s">
        <v>75</v>
      </c>
      <c r="K45" s="32" t="s">
        <v>75</v>
      </c>
      <c r="L45" s="32" t="s">
        <v>75</v>
      </c>
      <c r="M45" s="32" t="s">
        <v>75</v>
      </c>
      <c r="N45" s="32" t="s">
        <v>47</v>
      </c>
      <c r="O45" s="32" t="s">
        <v>108</v>
      </c>
      <c r="P45" s="32" t="s">
        <v>119</v>
      </c>
      <c r="Q45" s="32" t="s">
        <v>61</v>
      </c>
      <c r="R45" s="32" t="s">
        <v>53</v>
      </c>
      <c r="S45" s="32" t="s">
        <v>73</v>
      </c>
      <c r="T45" s="32" t="s">
        <v>53</v>
      </c>
      <c r="U45" s="32" t="s">
        <v>53</v>
      </c>
      <c r="V45" s="36" t="s">
        <v>150</v>
      </c>
      <c r="W45" s="33" t="n">
        <f aca="false">'Teehan data'!G32</f>
        <v>3.7</v>
      </c>
      <c r="X45" s="37"/>
      <c r="Y45" s="37"/>
      <c r="Z45" s="35"/>
      <c r="AA45" s="35"/>
      <c r="AB45" s="35"/>
      <c r="AC45" s="35"/>
      <c r="AD45" s="35"/>
      <c r="AE45" s="35"/>
      <c r="AF45" s="35"/>
      <c r="AG45" s="35"/>
    </row>
    <row r="46" s="30" customFormat="true" ht="63" hidden="false" customHeight="false" outlineLevel="0" collapsed="false">
      <c r="A46" s="2"/>
      <c r="B46" s="35" t="s">
        <v>146</v>
      </c>
      <c r="C46" s="32" t="s">
        <v>147</v>
      </c>
      <c r="D46" s="32" t="n">
        <v>2014</v>
      </c>
      <c r="E46" s="31" t="s">
        <v>148</v>
      </c>
      <c r="F46" s="27" t="s">
        <v>45</v>
      </c>
      <c r="G46" s="32" t="s">
        <v>75</v>
      </c>
      <c r="H46" s="32" t="s">
        <v>75</v>
      </c>
      <c r="I46" s="32" t="s">
        <v>82</v>
      </c>
      <c r="J46" s="32" t="s">
        <v>75</v>
      </c>
      <c r="K46" s="32" t="s">
        <v>75</v>
      </c>
      <c r="L46" s="32" t="s">
        <v>75</v>
      </c>
      <c r="M46" s="32" t="s">
        <v>75</v>
      </c>
      <c r="N46" s="32" t="s">
        <v>47</v>
      </c>
      <c r="O46" s="32" t="s">
        <v>108</v>
      </c>
      <c r="P46" s="32" t="s">
        <v>119</v>
      </c>
      <c r="Q46" s="32" t="s">
        <v>61</v>
      </c>
      <c r="R46" s="32" t="s">
        <v>53</v>
      </c>
      <c r="S46" s="32" t="s">
        <v>73</v>
      </c>
      <c r="T46" s="32" t="s">
        <v>53</v>
      </c>
      <c r="U46" s="32" t="s">
        <v>53</v>
      </c>
      <c r="V46" s="36" t="s">
        <v>151</v>
      </c>
      <c r="W46" s="33" t="n">
        <f aca="false">'Teehan data'!G33</f>
        <v>1.6</v>
      </c>
      <c r="X46" s="37"/>
      <c r="Y46" s="37"/>
      <c r="Z46" s="35"/>
      <c r="AA46" s="35"/>
      <c r="AB46" s="35"/>
      <c r="AC46" s="35"/>
      <c r="AD46" s="35"/>
      <c r="AE46" s="35"/>
      <c r="AF46" s="35"/>
      <c r="AG46" s="35"/>
    </row>
    <row r="47" s="30" customFormat="true" ht="63" hidden="false" customHeight="false" outlineLevel="0" collapsed="false">
      <c r="A47" s="2"/>
      <c r="B47" s="35" t="s">
        <v>146</v>
      </c>
      <c r="C47" s="32" t="s">
        <v>147</v>
      </c>
      <c r="D47" s="32" t="n">
        <v>2014</v>
      </c>
      <c r="E47" s="31" t="s">
        <v>148</v>
      </c>
      <c r="F47" s="27" t="s">
        <v>45</v>
      </c>
      <c r="G47" s="32" t="s">
        <v>75</v>
      </c>
      <c r="H47" s="32" t="s">
        <v>75</v>
      </c>
      <c r="I47" s="32" t="s">
        <v>82</v>
      </c>
      <c r="J47" s="32" t="s">
        <v>75</v>
      </c>
      <c r="K47" s="32" t="s">
        <v>75</v>
      </c>
      <c r="L47" s="32" t="s">
        <v>75</v>
      </c>
      <c r="M47" s="32" t="s">
        <v>75</v>
      </c>
      <c r="N47" s="32" t="s">
        <v>47</v>
      </c>
      <c r="O47" s="32" t="s">
        <v>108</v>
      </c>
      <c r="P47" s="32" t="s">
        <v>119</v>
      </c>
      <c r="Q47" s="32" t="s">
        <v>61</v>
      </c>
      <c r="R47" s="32" t="s">
        <v>53</v>
      </c>
      <c r="S47" s="32" t="s">
        <v>73</v>
      </c>
      <c r="T47" s="32" t="s">
        <v>53</v>
      </c>
      <c r="U47" s="32" t="s">
        <v>53</v>
      </c>
      <c r="V47" s="36" t="s">
        <v>152</v>
      </c>
      <c r="W47" s="33" t="n">
        <f aca="false">'Teehan data'!G36</f>
        <v>5.5</v>
      </c>
      <c r="X47" s="37"/>
      <c r="Y47" s="37"/>
      <c r="Z47" s="35"/>
      <c r="AA47" s="35"/>
      <c r="AB47" s="35"/>
      <c r="AC47" s="35"/>
      <c r="AD47" s="35"/>
      <c r="AE47" s="35"/>
      <c r="AF47" s="35"/>
      <c r="AG47" s="35"/>
    </row>
    <row r="48" s="30" customFormat="true" ht="78.75" hidden="false" customHeight="false" outlineLevel="0" collapsed="false">
      <c r="A48" s="2"/>
      <c r="B48" s="35" t="s">
        <v>146</v>
      </c>
      <c r="C48" s="32" t="s">
        <v>147</v>
      </c>
      <c r="D48" s="32" t="n">
        <v>2014</v>
      </c>
      <c r="E48" s="31" t="s">
        <v>148</v>
      </c>
      <c r="F48" s="27" t="s">
        <v>45</v>
      </c>
      <c r="G48" s="32" t="s">
        <v>75</v>
      </c>
      <c r="H48" s="32" t="s">
        <v>75</v>
      </c>
      <c r="I48" s="32" t="s">
        <v>82</v>
      </c>
      <c r="J48" s="32" t="s">
        <v>75</v>
      </c>
      <c r="K48" s="32" t="s">
        <v>75</v>
      </c>
      <c r="L48" s="32" t="s">
        <v>75</v>
      </c>
      <c r="M48" s="32" t="s">
        <v>75</v>
      </c>
      <c r="N48" s="32" t="s">
        <v>47</v>
      </c>
      <c r="O48" s="32" t="s">
        <v>108</v>
      </c>
      <c r="P48" s="32" t="s">
        <v>119</v>
      </c>
      <c r="Q48" s="32" t="s">
        <v>61</v>
      </c>
      <c r="R48" s="32" t="s">
        <v>53</v>
      </c>
      <c r="S48" s="32" t="s">
        <v>73</v>
      </c>
      <c r="T48" s="32" t="s">
        <v>53</v>
      </c>
      <c r="U48" s="32" t="s">
        <v>53</v>
      </c>
      <c r="V48" s="36" t="s">
        <v>153</v>
      </c>
      <c r="W48" s="33" t="n">
        <f aca="false">'Teehan data'!G37</f>
        <v>7</v>
      </c>
      <c r="X48" s="37"/>
      <c r="Y48" s="37"/>
      <c r="Z48" s="35"/>
      <c r="AA48" s="35"/>
      <c r="AB48" s="35"/>
      <c r="AC48" s="35"/>
      <c r="AD48" s="35"/>
      <c r="AE48" s="35"/>
      <c r="AF48" s="35"/>
      <c r="AG48" s="35"/>
    </row>
    <row r="49" s="30" customFormat="true" ht="31.5" hidden="false" customHeight="false" outlineLevel="0" collapsed="false">
      <c r="A49" s="2"/>
      <c r="B49" s="35" t="s">
        <v>154</v>
      </c>
      <c r="C49" s="32" t="s">
        <v>155</v>
      </c>
      <c r="D49" s="32" t="n">
        <v>2017</v>
      </c>
      <c r="E49" s="31" t="s">
        <v>156</v>
      </c>
      <c r="F49" s="27" t="s">
        <v>45</v>
      </c>
      <c r="G49" s="32" t="s">
        <v>157</v>
      </c>
      <c r="H49" s="3" t="s">
        <v>75</v>
      </c>
      <c r="I49" s="3" t="s">
        <v>75</v>
      </c>
      <c r="J49" s="3" t="n">
        <f aca="false">'Kline data'!O6</f>
        <v>350</v>
      </c>
      <c r="K49" s="3" t="n">
        <v>200</v>
      </c>
      <c r="L49" s="3" t="s">
        <v>75</v>
      </c>
      <c r="M49" s="3" t="s">
        <v>75</v>
      </c>
      <c r="N49" s="3" t="s">
        <v>75</v>
      </c>
      <c r="O49" s="32" t="s">
        <v>75</v>
      </c>
      <c r="P49" s="3" t="s">
        <v>119</v>
      </c>
      <c r="Q49" s="3" t="s">
        <v>50</v>
      </c>
      <c r="R49" s="3" t="s">
        <v>75</v>
      </c>
      <c r="S49" s="3" t="s">
        <v>73</v>
      </c>
      <c r="T49" s="3" t="s">
        <v>75</v>
      </c>
      <c r="U49" s="3" t="s">
        <v>75</v>
      </c>
      <c r="V49" s="4" t="s">
        <v>158</v>
      </c>
      <c r="W49" s="33" t="n">
        <f aca="false">'Kline data'!S6</f>
        <v>6.41</v>
      </c>
      <c r="X49" s="37"/>
      <c r="Y49" s="37"/>
      <c r="Z49" s="35"/>
      <c r="AA49" s="35"/>
      <c r="AB49" s="35"/>
      <c r="AC49" s="35"/>
      <c r="AD49" s="35"/>
      <c r="AE49" s="35"/>
      <c r="AF49" s="35"/>
      <c r="AG49" s="35"/>
    </row>
    <row r="50" s="30" customFormat="true" ht="31.5" hidden="false" customHeight="false" outlineLevel="0" collapsed="false">
      <c r="A50" s="2"/>
      <c r="B50" s="35" t="s">
        <v>154</v>
      </c>
      <c r="C50" s="32" t="s">
        <v>155</v>
      </c>
      <c r="D50" s="32" t="n">
        <v>2017</v>
      </c>
      <c r="E50" s="31" t="s">
        <v>159</v>
      </c>
      <c r="F50" s="27" t="s">
        <v>45</v>
      </c>
      <c r="G50" s="32" t="s">
        <v>157</v>
      </c>
      <c r="H50" s="3" t="s">
        <v>75</v>
      </c>
      <c r="I50" s="3" t="s">
        <v>75</v>
      </c>
      <c r="J50" s="3" t="n">
        <f aca="false">'Kline data'!O7</f>
        <v>250</v>
      </c>
      <c r="K50" s="3" t="n">
        <v>200</v>
      </c>
      <c r="L50" s="3" t="s">
        <v>75</v>
      </c>
      <c r="M50" s="3" t="s">
        <v>75</v>
      </c>
      <c r="N50" s="3" t="s">
        <v>75</v>
      </c>
      <c r="O50" s="32" t="s">
        <v>75</v>
      </c>
      <c r="P50" s="3" t="s">
        <v>119</v>
      </c>
      <c r="Q50" s="3" t="s">
        <v>50</v>
      </c>
      <c r="R50" s="3" t="s">
        <v>75</v>
      </c>
      <c r="S50" s="3" t="s">
        <v>73</v>
      </c>
      <c r="T50" s="3" t="s">
        <v>75</v>
      </c>
      <c r="U50" s="3" t="s">
        <v>75</v>
      </c>
      <c r="V50" s="4" t="s">
        <v>158</v>
      </c>
      <c r="W50" s="33" t="n">
        <f aca="false">'Kline data'!S7</f>
        <v>4.38</v>
      </c>
      <c r="X50" s="37"/>
      <c r="Y50" s="37"/>
      <c r="Z50" s="35"/>
      <c r="AA50" s="35"/>
      <c r="AB50" s="35"/>
      <c r="AC50" s="35"/>
      <c r="AD50" s="35"/>
      <c r="AE50" s="35"/>
      <c r="AF50" s="35"/>
      <c r="AG50" s="35"/>
    </row>
    <row r="51" s="30" customFormat="true" ht="31.5" hidden="false" customHeight="false" outlineLevel="0" collapsed="false">
      <c r="A51" s="2"/>
      <c r="B51" s="35" t="s">
        <v>154</v>
      </c>
      <c r="C51" s="32" t="s">
        <v>155</v>
      </c>
      <c r="D51" s="32" t="n">
        <v>2017</v>
      </c>
      <c r="E51" s="31" t="s">
        <v>160</v>
      </c>
      <c r="F51" s="27" t="s">
        <v>45</v>
      </c>
      <c r="G51" s="32" t="s">
        <v>157</v>
      </c>
      <c r="H51" s="3" t="s">
        <v>75</v>
      </c>
      <c r="I51" s="3" t="s">
        <v>75</v>
      </c>
      <c r="J51" s="3" t="n">
        <f aca="false">'Kline data'!O8</f>
        <v>180</v>
      </c>
      <c r="K51" s="3" t="n">
        <v>200</v>
      </c>
      <c r="L51" s="3" t="s">
        <v>75</v>
      </c>
      <c r="M51" s="3" t="s">
        <v>75</v>
      </c>
      <c r="N51" s="3" t="s">
        <v>75</v>
      </c>
      <c r="O51" s="32" t="s">
        <v>75</v>
      </c>
      <c r="P51" s="3" t="s">
        <v>119</v>
      </c>
      <c r="Q51" s="3" t="s">
        <v>50</v>
      </c>
      <c r="R51" s="3" t="s">
        <v>75</v>
      </c>
      <c r="S51" s="3" t="s">
        <v>73</v>
      </c>
      <c r="T51" s="3" t="s">
        <v>75</v>
      </c>
      <c r="U51" s="3" t="s">
        <v>75</v>
      </c>
      <c r="V51" s="4" t="s">
        <v>158</v>
      </c>
      <c r="W51" s="33" t="n">
        <f aca="false">'Kline data'!S8</f>
        <v>4.94</v>
      </c>
      <c r="X51" s="37"/>
      <c r="Y51" s="37"/>
      <c r="Z51" s="35"/>
      <c r="AA51" s="35"/>
      <c r="AB51" s="35"/>
      <c r="AC51" s="35"/>
      <c r="AD51" s="35"/>
      <c r="AE51" s="35"/>
      <c r="AF51" s="35"/>
      <c r="AG51" s="35"/>
    </row>
    <row r="52" s="30" customFormat="true" ht="31.5" hidden="false" customHeight="false" outlineLevel="0" collapsed="false">
      <c r="A52" s="2"/>
      <c r="B52" s="35" t="s">
        <v>154</v>
      </c>
      <c r="C52" s="32" t="s">
        <v>155</v>
      </c>
      <c r="D52" s="32" t="n">
        <v>2017</v>
      </c>
      <c r="E52" s="31" t="s">
        <v>161</v>
      </c>
      <c r="F52" s="27" t="s">
        <v>45</v>
      </c>
      <c r="G52" s="32" t="s">
        <v>157</v>
      </c>
      <c r="H52" s="3" t="s">
        <v>75</v>
      </c>
      <c r="I52" s="3" t="s">
        <v>75</v>
      </c>
      <c r="J52" s="3" t="n">
        <f aca="false">'Kline data'!O9</f>
        <v>130</v>
      </c>
      <c r="K52" s="3" t="n">
        <v>200</v>
      </c>
      <c r="L52" s="3" t="s">
        <v>75</v>
      </c>
      <c r="M52" s="3" t="s">
        <v>75</v>
      </c>
      <c r="N52" s="3" t="s">
        <v>75</v>
      </c>
      <c r="O52" s="32" t="s">
        <v>75</v>
      </c>
      <c r="P52" s="3" t="s">
        <v>119</v>
      </c>
      <c r="Q52" s="3" t="s">
        <v>50</v>
      </c>
      <c r="R52" s="3" t="s">
        <v>75</v>
      </c>
      <c r="S52" s="3" t="s">
        <v>73</v>
      </c>
      <c r="T52" s="3" t="s">
        <v>75</v>
      </c>
      <c r="U52" s="3" t="s">
        <v>75</v>
      </c>
      <c r="V52" s="4" t="s">
        <v>158</v>
      </c>
      <c r="W52" s="33" t="n">
        <f aca="false">'Kline data'!S9</f>
        <v>3.41</v>
      </c>
      <c r="X52" s="37"/>
      <c r="Y52" s="37"/>
      <c r="Z52" s="35"/>
      <c r="AA52" s="35"/>
      <c r="AB52" s="35"/>
      <c r="AC52" s="35"/>
      <c r="AD52" s="35"/>
      <c r="AE52" s="35"/>
      <c r="AF52" s="35"/>
      <c r="AG52" s="35"/>
    </row>
    <row r="53" s="30" customFormat="true" ht="31.5" hidden="false" customHeight="false" outlineLevel="0" collapsed="false">
      <c r="A53" s="2"/>
      <c r="B53" s="35" t="s">
        <v>154</v>
      </c>
      <c r="C53" s="32" t="s">
        <v>155</v>
      </c>
      <c r="D53" s="32" t="n">
        <v>2017</v>
      </c>
      <c r="E53" s="31" t="s">
        <v>162</v>
      </c>
      <c r="F53" s="27" t="s">
        <v>45</v>
      </c>
      <c r="G53" s="32" t="s">
        <v>157</v>
      </c>
      <c r="H53" s="3" t="s">
        <v>75</v>
      </c>
      <c r="I53" s="3" t="s">
        <v>75</v>
      </c>
      <c r="J53" s="3" t="n">
        <f aca="false">'Kline data'!O10</f>
        <v>90</v>
      </c>
      <c r="K53" s="3" t="n">
        <v>200</v>
      </c>
      <c r="L53" s="3" t="s">
        <v>75</v>
      </c>
      <c r="M53" s="3" t="s">
        <v>75</v>
      </c>
      <c r="N53" s="3" t="s">
        <v>75</v>
      </c>
      <c r="O53" s="32" t="s">
        <v>75</v>
      </c>
      <c r="P53" s="3" t="s">
        <v>119</v>
      </c>
      <c r="Q53" s="3" t="s">
        <v>50</v>
      </c>
      <c r="R53" s="3" t="s">
        <v>75</v>
      </c>
      <c r="S53" s="3" t="s">
        <v>73</v>
      </c>
      <c r="T53" s="3" t="s">
        <v>75</v>
      </c>
      <c r="U53" s="3" t="s">
        <v>75</v>
      </c>
      <c r="V53" s="4" t="s">
        <v>158</v>
      </c>
      <c r="W53" s="33" t="n">
        <f aca="false">'Kline data'!S10</f>
        <v>4.15</v>
      </c>
      <c r="X53" s="37"/>
      <c r="Y53" s="37"/>
      <c r="Z53" s="35"/>
      <c r="AA53" s="35"/>
      <c r="AB53" s="35"/>
      <c r="AC53" s="35"/>
      <c r="AD53" s="35"/>
      <c r="AE53" s="35"/>
      <c r="AF53" s="35"/>
      <c r="AG53" s="35"/>
    </row>
    <row r="54" s="30" customFormat="true" ht="31.5" hidden="false" customHeight="false" outlineLevel="0" collapsed="false">
      <c r="A54" s="2"/>
      <c r="B54" s="35" t="s">
        <v>154</v>
      </c>
      <c r="C54" s="32" t="s">
        <v>155</v>
      </c>
      <c r="D54" s="32" t="n">
        <v>2017</v>
      </c>
      <c r="E54" s="31" t="s">
        <v>163</v>
      </c>
      <c r="F54" s="27" t="s">
        <v>45</v>
      </c>
      <c r="G54" s="32" t="s">
        <v>157</v>
      </c>
      <c r="H54" s="3" t="s">
        <v>75</v>
      </c>
      <c r="I54" s="3" t="s">
        <v>75</v>
      </c>
      <c r="J54" s="3" t="n">
        <f aca="false">'Kline data'!O11</f>
        <v>65</v>
      </c>
      <c r="K54" s="3" t="n">
        <v>200</v>
      </c>
      <c r="L54" s="3" t="s">
        <v>75</v>
      </c>
      <c r="M54" s="3" t="s">
        <v>75</v>
      </c>
      <c r="N54" s="3" t="s">
        <v>75</v>
      </c>
      <c r="O54" s="32" t="s">
        <v>75</v>
      </c>
      <c r="P54" s="3" t="s">
        <v>119</v>
      </c>
      <c r="Q54" s="3" t="s">
        <v>50</v>
      </c>
      <c r="R54" s="3" t="s">
        <v>75</v>
      </c>
      <c r="S54" s="3" t="s">
        <v>73</v>
      </c>
      <c r="T54" s="3" t="s">
        <v>75</v>
      </c>
      <c r="U54" s="3" t="s">
        <v>75</v>
      </c>
      <c r="V54" s="4" t="s">
        <v>158</v>
      </c>
      <c r="W54" s="33" t="n">
        <f aca="false">'Kline data'!S11</f>
        <v>4.09</v>
      </c>
      <c r="X54" s="37"/>
      <c r="Y54" s="37"/>
      <c r="Z54" s="35"/>
      <c r="AA54" s="35"/>
      <c r="AB54" s="35"/>
      <c r="AC54" s="35"/>
      <c r="AD54" s="35"/>
      <c r="AE54" s="35"/>
      <c r="AF54" s="35"/>
      <c r="AG54" s="35"/>
    </row>
    <row r="55" s="30" customFormat="true" ht="31.5" hidden="false" customHeight="false" outlineLevel="0" collapsed="false">
      <c r="A55" s="2"/>
      <c r="B55" s="35" t="s">
        <v>154</v>
      </c>
      <c r="C55" s="32" t="s">
        <v>155</v>
      </c>
      <c r="D55" s="32" t="n">
        <v>2017</v>
      </c>
      <c r="E55" s="31" t="s">
        <v>164</v>
      </c>
      <c r="F55" s="27" t="s">
        <v>45</v>
      </c>
      <c r="G55" s="32" t="s">
        <v>157</v>
      </c>
      <c r="H55" s="3" t="s">
        <v>75</v>
      </c>
      <c r="I55" s="3" t="s">
        <v>75</v>
      </c>
      <c r="J55" s="3" t="n">
        <f aca="false">'Kline data'!O12</f>
        <v>45</v>
      </c>
      <c r="K55" s="3" t="n">
        <v>200</v>
      </c>
      <c r="L55" s="3" t="s">
        <v>75</v>
      </c>
      <c r="M55" s="3" t="s">
        <v>75</v>
      </c>
      <c r="N55" s="3" t="s">
        <v>75</v>
      </c>
      <c r="O55" s="32" t="s">
        <v>75</v>
      </c>
      <c r="P55" s="3" t="s">
        <v>119</v>
      </c>
      <c r="Q55" s="3" t="s">
        <v>50</v>
      </c>
      <c r="R55" s="3" t="s">
        <v>75</v>
      </c>
      <c r="S55" s="3" t="s">
        <v>73</v>
      </c>
      <c r="T55" s="3" t="s">
        <v>75</v>
      </c>
      <c r="U55" s="3" t="s">
        <v>75</v>
      </c>
      <c r="V55" s="4" t="s">
        <v>158</v>
      </c>
      <c r="W55" s="33" t="n">
        <f aca="false">'Kline data'!S12</f>
        <v>5.49</v>
      </c>
      <c r="X55" s="37"/>
      <c r="Y55" s="37"/>
      <c r="Z55" s="35"/>
      <c r="AA55" s="35"/>
      <c r="AB55" s="35"/>
      <c r="AC55" s="35"/>
      <c r="AD55" s="35"/>
      <c r="AE55" s="35"/>
      <c r="AF55" s="35"/>
      <c r="AG55" s="35"/>
    </row>
    <row r="56" s="30" customFormat="true" ht="31.5" hidden="false" customHeight="false" outlineLevel="0" collapsed="false">
      <c r="A56" s="2"/>
      <c r="B56" s="35" t="s">
        <v>116</v>
      </c>
      <c r="C56" s="32" t="s">
        <v>117</v>
      </c>
      <c r="D56" s="32" t="n">
        <v>2016</v>
      </c>
      <c r="E56" s="31" t="s">
        <v>165</v>
      </c>
      <c r="F56" s="27" t="s">
        <v>45</v>
      </c>
      <c r="G56" s="32" t="s">
        <v>52</v>
      </c>
      <c r="H56" s="32" t="s">
        <v>47</v>
      </c>
      <c r="I56" s="32" t="s">
        <v>47</v>
      </c>
      <c r="J56" s="32" t="s">
        <v>75</v>
      </c>
      <c r="K56" s="32" t="s">
        <v>75</v>
      </c>
      <c r="L56" s="32" t="s">
        <v>47</v>
      </c>
      <c r="M56" s="32" t="s">
        <v>47</v>
      </c>
      <c r="N56" s="32" t="s">
        <v>47</v>
      </c>
      <c r="O56" s="32" t="s">
        <v>75</v>
      </c>
      <c r="P56" s="32" t="s">
        <v>49</v>
      </c>
      <c r="Q56" s="32" t="s">
        <v>75</v>
      </c>
      <c r="R56" s="32" t="s">
        <v>73</v>
      </c>
      <c r="S56" s="32" t="s">
        <v>114</v>
      </c>
      <c r="T56" s="32" t="s">
        <v>166</v>
      </c>
      <c r="U56" s="32" t="s">
        <v>47</v>
      </c>
      <c r="V56" s="36" t="s">
        <v>167</v>
      </c>
      <c r="W56" s="33" t="n">
        <f aca="false">'Ercan data'!I8</f>
        <v>3</v>
      </c>
      <c r="X56" s="38"/>
      <c r="Y56" s="38"/>
      <c r="Z56" s="39"/>
      <c r="AA56" s="39"/>
      <c r="AB56" s="39"/>
      <c r="AC56" s="39"/>
      <c r="AD56" s="39"/>
      <c r="AE56" s="39"/>
      <c r="AF56" s="39"/>
      <c r="AG56" s="39"/>
    </row>
    <row r="57" s="30" customFormat="true" ht="189" hidden="false" customHeight="false" outlineLevel="0" collapsed="false">
      <c r="A57" s="2"/>
      <c r="B57" s="26" t="s">
        <v>122</v>
      </c>
      <c r="C57" s="27" t="s">
        <v>123</v>
      </c>
      <c r="D57" s="3" t="n">
        <v>2012</v>
      </c>
      <c r="E57" s="20" t="s">
        <v>124</v>
      </c>
      <c r="F57" s="27" t="s">
        <v>45</v>
      </c>
      <c r="G57" s="3" t="s">
        <v>52</v>
      </c>
      <c r="H57" s="3" t="s">
        <v>47</v>
      </c>
      <c r="I57" s="3" t="s">
        <v>77</v>
      </c>
      <c r="J57" s="3" t="s">
        <v>75</v>
      </c>
      <c r="K57" s="3" t="n">
        <v>300</v>
      </c>
      <c r="L57" s="3" t="s">
        <v>74</v>
      </c>
      <c r="M57" s="3" t="s">
        <v>47</v>
      </c>
      <c r="N57" s="3" t="s">
        <v>90</v>
      </c>
      <c r="O57" s="3" t="s">
        <v>143</v>
      </c>
      <c r="P57" s="3" t="s">
        <v>49</v>
      </c>
      <c r="Q57" s="3" t="s">
        <v>61</v>
      </c>
      <c r="R57" s="32" t="s">
        <v>114</v>
      </c>
      <c r="S57" s="32" t="s">
        <v>73</v>
      </c>
      <c r="T57" s="3" t="s">
        <v>47</v>
      </c>
      <c r="U57" s="3" t="s">
        <v>47</v>
      </c>
      <c r="V57" s="36" t="s">
        <v>168</v>
      </c>
      <c r="W57" s="28" t="n">
        <f aca="false">'Schmidt data'!D6</f>
        <v>0.69</v>
      </c>
      <c r="X57" s="29"/>
      <c r="Y57" s="29"/>
      <c r="Z57" s="2"/>
      <c r="AA57" s="2"/>
      <c r="AB57" s="2"/>
      <c r="AC57" s="2"/>
      <c r="AD57" s="2"/>
      <c r="AE57" s="2"/>
      <c r="AF57" s="2"/>
      <c r="AG57" s="2"/>
    </row>
    <row r="58" s="47" customFormat="true" ht="15.75" hidden="false" customHeight="false" outlineLevel="0" collapsed="false">
      <c r="A58" s="40"/>
      <c r="B58" s="40"/>
      <c r="C58" s="41" t="s">
        <v>169</v>
      </c>
      <c r="D58" s="42"/>
      <c r="E58" s="43"/>
      <c r="F58" s="41" t="s">
        <v>169</v>
      </c>
      <c r="G58" s="42"/>
      <c r="H58" s="42"/>
      <c r="I58" s="42"/>
      <c r="J58" s="42"/>
      <c r="K58" s="42"/>
      <c r="L58" s="42"/>
      <c r="M58" s="42"/>
      <c r="N58" s="42"/>
      <c r="O58" s="42"/>
      <c r="P58" s="42"/>
      <c r="Q58" s="42"/>
      <c r="R58" s="42"/>
      <c r="S58" s="42"/>
      <c r="T58" s="42"/>
      <c r="U58" s="42"/>
      <c r="V58" s="44"/>
      <c r="W58" s="45"/>
      <c r="X58" s="46"/>
      <c r="Y58" s="46"/>
      <c r="Z58" s="40"/>
      <c r="AA58" s="40"/>
      <c r="AB58" s="40"/>
      <c r="AC58" s="40"/>
      <c r="AD58" s="40"/>
      <c r="AE58" s="40"/>
      <c r="AF58" s="40"/>
      <c r="AG58" s="40"/>
    </row>
    <row r="59" s="30" customFormat="true" ht="47.25" hidden="false" customHeight="false" outlineLevel="0" collapsed="false">
      <c r="A59" s="2"/>
      <c r="B59" s="35" t="s">
        <v>170</v>
      </c>
      <c r="C59" s="32" t="s">
        <v>171</v>
      </c>
      <c r="D59" s="3" t="n">
        <v>1983</v>
      </c>
      <c r="E59" s="20" t="s">
        <v>172</v>
      </c>
      <c r="F59" s="32" t="s">
        <v>51</v>
      </c>
      <c r="G59" s="32" t="s">
        <v>58</v>
      </c>
      <c r="H59" s="32" t="s">
        <v>47</v>
      </c>
      <c r="I59" s="32" t="s">
        <v>75</v>
      </c>
      <c r="J59" s="32" t="s">
        <v>58</v>
      </c>
      <c r="K59" s="32" t="n">
        <v>100</v>
      </c>
      <c r="L59" s="32" t="s">
        <v>75</v>
      </c>
      <c r="M59" s="32" t="s">
        <v>75</v>
      </c>
      <c r="N59" s="32" t="s">
        <v>75</v>
      </c>
      <c r="O59" s="32" t="s">
        <v>173</v>
      </c>
      <c r="P59" s="3" t="s">
        <v>174</v>
      </c>
      <c r="Q59" s="32" t="s">
        <v>75</v>
      </c>
      <c r="R59" s="32" t="s">
        <v>47</v>
      </c>
      <c r="S59" s="32" t="s">
        <v>53</v>
      </c>
      <c r="T59" s="32" t="s">
        <v>53</v>
      </c>
      <c r="U59" s="3" t="s">
        <v>47</v>
      </c>
      <c r="V59" s="4" t="s">
        <v>175</v>
      </c>
      <c r="W59" s="33" t="n">
        <f aca="false">'Plepys data'!AE5</f>
        <v>2.19816844260089</v>
      </c>
      <c r="X59" s="2"/>
      <c r="Y59" s="2"/>
      <c r="Z59" s="2"/>
      <c r="AA59" s="2"/>
      <c r="AB59" s="2"/>
      <c r="AC59" s="2"/>
      <c r="AD59" s="2"/>
      <c r="AE59" s="2"/>
      <c r="AF59" s="2"/>
      <c r="AG59" s="2"/>
    </row>
    <row r="60" s="30" customFormat="true" ht="47.25" hidden="false" customHeight="false" outlineLevel="0" collapsed="false">
      <c r="A60" s="2"/>
      <c r="B60" s="35" t="s">
        <v>170</v>
      </c>
      <c r="C60" s="32" t="s">
        <v>171</v>
      </c>
      <c r="D60" s="3" t="n">
        <v>1984</v>
      </c>
      <c r="E60" s="20" t="s">
        <v>172</v>
      </c>
      <c r="F60" s="32" t="s">
        <v>51</v>
      </c>
      <c r="G60" s="32" t="s">
        <v>58</v>
      </c>
      <c r="H60" s="32" t="s">
        <v>47</v>
      </c>
      <c r="I60" s="32" t="s">
        <v>75</v>
      </c>
      <c r="J60" s="32" t="s">
        <v>58</v>
      </c>
      <c r="K60" s="32" t="n">
        <v>200</v>
      </c>
      <c r="L60" s="32" t="s">
        <v>75</v>
      </c>
      <c r="M60" s="32" t="s">
        <v>75</v>
      </c>
      <c r="N60" s="32" t="s">
        <v>75</v>
      </c>
      <c r="O60" s="32" t="s">
        <v>48</v>
      </c>
      <c r="P60" s="3" t="s">
        <v>174</v>
      </c>
      <c r="Q60" s="32" t="s">
        <v>75</v>
      </c>
      <c r="R60" s="32" t="s">
        <v>47</v>
      </c>
      <c r="S60" s="32" t="s">
        <v>53</v>
      </c>
      <c r="T60" s="32" t="s">
        <v>53</v>
      </c>
      <c r="U60" s="3" t="s">
        <v>47</v>
      </c>
      <c r="V60" s="4" t="s">
        <v>175</v>
      </c>
      <c r="W60" s="33" t="n">
        <f aca="false">'Plepys data'!AE6</f>
        <v>2.31162229770288</v>
      </c>
      <c r="X60" s="2"/>
      <c r="Y60" s="2"/>
      <c r="Z60" s="2"/>
      <c r="AA60" s="2"/>
      <c r="AB60" s="2"/>
      <c r="AC60" s="2"/>
      <c r="AD60" s="2"/>
      <c r="AE60" s="2"/>
      <c r="AF60" s="2"/>
      <c r="AG60" s="2"/>
    </row>
    <row r="61" s="30" customFormat="true" ht="47.25" hidden="false" customHeight="false" outlineLevel="0" collapsed="false">
      <c r="A61" s="2"/>
      <c r="B61" s="35" t="s">
        <v>170</v>
      </c>
      <c r="C61" s="32" t="s">
        <v>171</v>
      </c>
      <c r="D61" s="3" t="n">
        <v>1988</v>
      </c>
      <c r="E61" s="20" t="s">
        <v>172</v>
      </c>
      <c r="F61" s="32" t="s">
        <v>51</v>
      </c>
      <c r="G61" s="32" t="s">
        <v>58</v>
      </c>
      <c r="H61" s="32" t="s">
        <v>47</v>
      </c>
      <c r="I61" s="32" t="s">
        <v>75</v>
      </c>
      <c r="J61" s="32" t="s">
        <v>58</v>
      </c>
      <c r="K61" s="32" t="n">
        <v>150</v>
      </c>
      <c r="L61" s="32" t="s">
        <v>75</v>
      </c>
      <c r="M61" s="32" t="s">
        <v>75</v>
      </c>
      <c r="N61" s="32" t="s">
        <v>75</v>
      </c>
      <c r="O61" s="32" t="s">
        <v>48</v>
      </c>
      <c r="P61" s="3" t="s">
        <v>174</v>
      </c>
      <c r="Q61" s="32" t="s">
        <v>75</v>
      </c>
      <c r="R61" s="32" t="s">
        <v>47</v>
      </c>
      <c r="S61" s="32" t="s">
        <v>53</v>
      </c>
      <c r="T61" s="32" t="s">
        <v>53</v>
      </c>
      <c r="U61" s="3" t="s">
        <v>47</v>
      </c>
      <c r="V61" s="4" t="s">
        <v>175</v>
      </c>
      <c r="W61" s="33" t="n">
        <f aca="false">'Plepys data'!AE7</f>
        <v>1.31890106556054</v>
      </c>
      <c r="X61" s="2"/>
      <c r="Y61" s="2"/>
      <c r="Z61" s="2"/>
      <c r="AA61" s="2"/>
      <c r="AB61" s="2"/>
      <c r="AC61" s="2"/>
      <c r="AD61" s="2"/>
      <c r="AE61" s="2"/>
      <c r="AF61" s="2"/>
      <c r="AG61" s="2"/>
    </row>
    <row r="62" s="30" customFormat="true" ht="47.25" hidden="false" customHeight="false" outlineLevel="0" collapsed="false">
      <c r="A62" s="2"/>
      <c r="B62" s="35" t="s">
        <v>170</v>
      </c>
      <c r="C62" s="32" t="s">
        <v>171</v>
      </c>
      <c r="D62" s="3" t="n">
        <v>1993</v>
      </c>
      <c r="E62" s="20" t="s">
        <v>172</v>
      </c>
      <c r="F62" s="32" t="s">
        <v>51</v>
      </c>
      <c r="G62" s="32" t="s">
        <v>58</v>
      </c>
      <c r="H62" s="32" t="s">
        <v>47</v>
      </c>
      <c r="I62" s="32" t="s">
        <v>75</v>
      </c>
      <c r="J62" s="32" t="s">
        <v>58</v>
      </c>
      <c r="K62" s="32" t="n">
        <v>150</v>
      </c>
      <c r="L62" s="32" t="s">
        <v>75</v>
      </c>
      <c r="M62" s="32" t="s">
        <v>75</v>
      </c>
      <c r="N62" s="32" t="s">
        <v>75</v>
      </c>
      <c r="O62" s="32" t="s">
        <v>48</v>
      </c>
      <c r="P62" s="3" t="s">
        <v>174</v>
      </c>
      <c r="Q62" s="32" t="s">
        <v>75</v>
      </c>
      <c r="R62" s="32" t="s">
        <v>47</v>
      </c>
      <c r="S62" s="32" t="s">
        <v>53</v>
      </c>
      <c r="T62" s="32" t="s">
        <v>53</v>
      </c>
      <c r="U62" s="3" t="s">
        <v>47</v>
      </c>
      <c r="V62" s="4" t="s">
        <v>175</v>
      </c>
      <c r="W62" s="33" t="n">
        <f aca="false">'Plepys data'!AE8</f>
        <v>0.943085170535223</v>
      </c>
      <c r="X62" s="2"/>
      <c r="Y62" s="2"/>
      <c r="Z62" s="2"/>
      <c r="AA62" s="2"/>
      <c r="AB62" s="2"/>
      <c r="AC62" s="2"/>
      <c r="AD62" s="2"/>
      <c r="AE62" s="2"/>
      <c r="AF62" s="2"/>
      <c r="AG62" s="2"/>
    </row>
    <row r="63" s="30" customFormat="true" ht="47.25" hidden="false" customHeight="false" outlineLevel="0" collapsed="false">
      <c r="A63" s="2"/>
      <c r="B63" s="35" t="s">
        <v>170</v>
      </c>
      <c r="C63" s="32" t="s">
        <v>171</v>
      </c>
      <c r="D63" s="3" t="n">
        <v>1993</v>
      </c>
      <c r="E63" s="20" t="s">
        <v>172</v>
      </c>
      <c r="F63" s="32" t="s">
        <v>51</v>
      </c>
      <c r="G63" s="32" t="s">
        <v>58</v>
      </c>
      <c r="H63" s="32" t="s">
        <v>47</v>
      </c>
      <c r="I63" s="32" t="s">
        <v>75</v>
      </c>
      <c r="J63" s="32" t="s">
        <v>58</v>
      </c>
      <c r="K63" s="32" t="n">
        <v>150</v>
      </c>
      <c r="L63" s="32" t="s">
        <v>75</v>
      </c>
      <c r="M63" s="32" t="s">
        <v>75</v>
      </c>
      <c r="N63" s="32" t="s">
        <v>75</v>
      </c>
      <c r="O63" s="32" t="s">
        <v>48</v>
      </c>
      <c r="P63" s="3" t="s">
        <v>174</v>
      </c>
      <c r="Q63" s="32" t="s">
        <v>75</v>
      </c>
      <c r="R63" s="32" t="s">
        <v>47</v>
      </c>
      <c r="S63" s="32" t="s">
        <v>53</v>
      </c>
      <c r="T63" s="32" t="s">
        <v>53</v>
      </c>
      <c r="U63" s="3" t="s">
        <v>47</v>
      </c>
      <c r="V63" s="4" t="s">
        <v>175</v>
      </c>
      <c r="W63" s="33" t="n">
        <f aca="false">'Plepys data'!AE9</f>
        <v>1.16290201479531</v>
      </c>
      <c r="X63" s="2"/>
      <c r="Y63" s="2"/>
      <c r="Z63" s="2"/>
      <c r="AA63" s="2"/>
      <c r="AB63" s="2"/>
      <c r="AC63" s="2"/>
      <c r="AD63" s="2"/>
      <c r="AE63" s="2"/>
      <c r="AF63" s="2"/>
      <c r="AG63" s="2"/>
    </row>
    <row r="64" s="30" customFormat="true" ht="47.25" hidden="false" customHeight="false" outlineLevel="0" collapsed="false">
      <c r="A64" s="2"/>
      <c r="B64" s="35" t="s">
        <v>170</v>
      </c>
      <c r="C64" s="32" t="s">
        <v>171</v>
      </c>
      <c r="D64" s="3" t="n">
        <v>1994</v>
      </c>
      <c r="E64" s="20" t="s">
        <v>172</v>
      </c>
      <c r="F64" s="32" t="s">
        <v>51</v>
      </c>
      <c r="G64" s="32" t="s">
        <v>58</v>
      </c>
      <c r="H64" s="32" t="s">
        <v>47</v>
      </c>
      <c r="I64" s="32" t="s">
        <v>75</v>
      </c>
      <c r="J64" s="32" t="s">
        <v>58</v>
      </c>
      <c r="K64" s="32" t="n">
        <v>150</v>
      </c>
      <c r="L64" s="32" t="s">
        <v>75</v>
      </c>
      <c r="M64" s="32" t="s">
        <v>75</v>
      </c>
      <c r="N64" s="32" t="s">
        <v>75</v>
      </c>
      <c r="O64" s="32" t="s">
        <v>48</v>
      </c>
      <c r="P64" s="3" t="s">
        <v>174</v>
      </c>
      <c r="Q64" s="32" t="s">
        <v>75</v>
      </c>
      <c r="R64" s="32" t="s">
        <v>47</v>
      </c>
      <c r="S64" s="32" t="s">
        <v>53</v>
      </c>
      <c r="T64" s="32" t="s">
        <v>53</v>
      </c>
      <c r="U64" s="3" t="s">
        <v>47</v>
      </c>
      <c r="V64" s="4" t="s">
        <v>175</v>
      </c>
      <c r="W64" s="33" t="n">
        <f aca="false">'Plepys data'!AE10</f>
        <v>1.0849024894127</v>
      </c>
      <c r="X64" s="2"/>
      <c r="Y64" s="2"/>
      <c r="Z64" s="2"/>
      <c r="AA64" s="2"/>
      <c r="AB64" s="2"/>
      <c r="AC64" s="2"/>
      <c r="AD64" s="2"/>
      <c r="AE64" s="2"/>
      <c r="AF64" s="2"/>
      <c r="AG64" s="2"/>
    </row>
    <row r="65" s="30" customFormat="true" ht="47.25" hidden="false" customHeight="false" outlineLevel="0" collapsed="false">
      <c r="A65" s="2"/>
      <c r="B65" s="35" t="s">
        <v>170</v>
      </c>
      <c r="C65" s="32" t="s">
        <v>171</v>
      </c>
      <c r="D65" s="3" t="n">
        <v>1994</v>
      </c>
      <c r="E65" s="20" t="s">
        <v>172</v>
      </c>
      <c r="F65" s="32" t="s">
        <v>51</v>
      </c>
      <c r="G65" s="32" t="s">
        <v>58</v>
      </c>
      <c r="H65" s="32" t="s">
        <v>47</v>
      </c>
      <c r="I65" s="32" t="s">
        <v>75</v>
      </c>
      <c r="J65" s="32" t="s">
        <v>58</v>
      </c>
      <c r="K65" s="32" t="n">
        <v>150</v>
      </c>
      <c r="L65" s="32" t="s">
        <v>75</v>
      </c>
      <c r="M65" s="32" t="s">
        <v>75</v>
      </c>
      <c r="N65" s="32" t="s">
        <v>75</v>
      </c>
      <c r="O65" s="32" t="s">
        <v>59</v>
      </c>
      <c r="P65" s="3" t="s">
        <v>174</v>
      </c>
      <c r="Q65" s="32" t="s">
        <v>75</v>
      </c>
      <c r="R65" s="32" t="s">
        <v>47</v>
      </c>
      <c r="S65" s="32" t="s">
        <v>53</v>
      </c>
      <c r="T65" s="32" t="s">
        <v>53</v>
      </c>
      <c r="U65" s="3" t="s">
        <v>47</v>
      </c>
      <c r="V65" s="4" t="s">
        <v>175</v>
      </c>
      <c r="W65" s="33" t="n">
        <f aca="false">'Plepys data'!AE11</f>
        <v>0.68072313061189</v>
      </c>
      <c r="X65" s="2"/>
      <c r="Y65" s="2"/>
      <c r="Z65" s="2"/>
      <c r="AA65" s="2"/>
      <c r="AB65" s="2"/>
      <c r="AC65" s="2"/>
      <c r="AD65" s="2"/>
      <c r="AE65" s="2"/>
      <c r="AF65" s="2"/>
      <c r="AG65" s="2"/>
    </row>
    <row r="66" s="30" customFormat="true" ht="47.25" hidden="false" customHeight="false" outlineLevel="0" collapsed="false">
      <c r="A66" s="2"/>
      <c r="B66" s="35" t="s">
        <v>170</v>
      </c>
      <c r="C66" s="32" t="s">
        <v>171</v>
      </c>
      <c r="D66" s="3" t="n">
        <v>1995</v>
      </c>
      <c r="E66" s="20" t="s">
        <v>172</v>
      </c>
      <c r="F66" s="32" t="s">
        <v>51</v>
      </c>
      <c r="G66" s="32" t="s">
        <v>58</v>
      </c>
      <c r="H66" s="32" t="s">
        <v>47</v>
      </c>
      <c r="I66" s="32" t="s">
        <v>75</v>
      </c>
      <c r="J66" s="32" t="s">
        <v>58</v>
      </c>
      <c r="K66" s="32" t="s">
        <v>75</v>
      </c>
      <c r="L66" s="32" t="s">
        <v>75</v>
      </c>
      <c r="M66" s="32" t="s">
        <v>75</v>
      </c>
      <c r="N66" s="32" t="s">
        <v>75</v>
      </c>
      <c r="O66" s="32" t="s">
        <v>64</v>
      </c>
      <c r="P66" s="3" t="s">
        <v>174</v>
      </c>
      <c r="Q66" s="32" t="s">
        <v>75</v>
      </c>
      <c r="R66" s="32" t="s">
        <v>47</v>
      </c>
      <c r="S66" s="32" t="s">
        <v>53</v>
      </c>
      <c r="T66" s="32" t="s">
        <v>53</v>
      </c>
      <c r="U66" s="3" t="s">
        <v>47</v>
      </c>
      <c r="V66" s="4" t="s">
        <v>175</v>
      </c>
      <c r="W66" s="33" t="n">
        <f aca="false">'Plepys data'!AE12</f>
        <v>1.02108469591784</v>
      </c>
      <c r="X66" s="2"/>
      <c r="Y66" s="2"/>
      <c r="Z66" s="2"/>
      <c r="AA66" s="2"/>
      <c r="AB66" s="2"/>
      <c r="AC66" s="2"/>
      <c r="AD66" s="2"/>
      <c r="AE66" s="2"/>
      <c r="AF66" s="2"/>
      <c r="AG66" s="2"/>
    </row>
    <row r="67" s="30" customFormat="true" ht="47.25" hidden="false" customHeight="false" outlineLevel="0" collapsed="false">
      <c r="A67" s="2"/>
      <c r="B67" s="35" t="s">
        <v>170</v>
      </c>
      <c r="C67" s="32" t="s">
        <v>171</v>
      </c>
      <c r="D67" s="3" t="n">
        <v>1995</v>
      </c>
      <c r="E67" s="20" t="s">
        <v>172</v>
      </c>
      <c r="F67" s="32" t="s">
        <v>51</v>
      </c>
      <c r="G67" s="32" t="s">
        <v>58</v>
      </c>
      <c r="H67" s="32" t="s">
        <v>47</v>
      </c>
      <c r="I67" s="32" t="s">
        <v>75</v>
      </c>
      <c r="J67" s="32" t="s">
        <v>58</v>
      </c>
      <c r="K67" s="32" t="s">
        <v>75</v>
      </c>
      <c r="L67" s="32" t="s">
        <v>75</v>
      </c>
      <c r="M67" s="32" t="s">
        <v>75</v>
      </c>
      <c r="N67" s="32" t="s">
        <v>75</v>
      </c>
      <c r="O67" s="32" t="s">
        <v>64</v>
      </c>
      <c r="P67" s="3" t="s">
        <v>174</v>
      </c>
      <c r="Q67" s="32" t="s">
        <v>75</v>
      </c>
      <c r="R67" s="32" t="s">
        <v>47</v>
      </c>
      <c r="S67" s="32" t="s">
        <v>53</v>
      </c>
      <c r="T67" s="32" t="s">
        <v>53</v>
      </c>
      <c r="U67" s="3" t="s">
        <v>47</v>
      </c>
      <c r="V67" s="4" t="s">
        <v>175</v>
      </c>
      <c r="W67" s="33" t="n">
        <f aca="false">'Plepys data'!AE13</f>
        <v>0.999812098086214</v>
      </c>
      <c r="X67" s="2"/>
      <c r="Y67" s="2"/>
      <c r="Z67" s="2"/>
      <c r="AA67" s="2"/>
      <c r="AB67" s="2"/>
      <c r="AC67" s="2"/>
      <c r="AD67" s="2"/>
      <c r="AE67" s="2"/>
      <c r="AF67" s="2"/>
      <c r="AG67" s="2"/>
    </row>
    <row r="68" s="30" customFormat="true" ht="47.25" hidden="false" customHeight="false" outlineLevel="0" collapsed="false">
      <c r="A68" s="2"/>
      <c r="B68" s="35" t="s">
        <v>170</v>
      </c>
      <c r="C68" s="32" t="s">
        <v>171</v>
      </c>
      <c r="D68" s="3" t="n">
        <v>1997</v>
      </c>
      <c r="E68" s="20" t="s">
        <v>172</v>
      </c>
      <c r="F68" s="32" t="s">
        <v>51</v>
      </c>
      <c r="G68" s="32" t="s">
        <v>58</v>
      </c>
      <c r="H68" s="32" t="s">
        <v>47</v>
      </c>
      <c r="I68" s="32" t="s">
        <v>75</v>
      </c>
      <c r="J68" s="32" t="s">
        <v>58</v>
      </c>
      <c r="K68" s="32" t="n">
        <v>150</v>
      </c>
      <c r="L68" s="32" t="s">
        <v>75</v>
      </c>
      <c r="M68" s="32" t="s">
        <v>75</v>
      </c>
      <c r="N68" s="32" t="s">
        <v>75</v>
      </c>
      <c r="O68" s="32" t="s">
        <v>59</v>
      </c>
      <c r="P68" s="3" t="s">
        <v>174</v>
      </c>
      <c r="Q68" s="32" t="s">
        <v>75</v>
      </c>
      <c r="R68" s="32" t="s">
        <v>47</v>
      </c>
      <c r="S68" s="32" t="s">
        <v>53</v>
      </c>
      <c r="T68" s="32" t="s">
        <v>53</v>
      </c>
      <c r="U68" s="3" t="s">
        <v>47</v>
      </c>
      <c r="V68" s="4" t="s">
        <v>175</v>
      </c>
      <c r="W68" s="33" t="n">
        <f aca="false">'Plepys data'!AE14</f>
        <v>0.361634163137567</v>
      </c>
      <c r="X68" s="2"/>
      <c r="Y68" s="2"/>
      <c r="Z68" s="2"/>
      <c r="AA68" s="2"/>
      <c r="AB68" s="2"/>
      <c r="AC68" s="2"/>
      <c r="AD68" s="2"/>
      <c r="AE68" s="2"/>
      <c r="AF68" s="2"/>
      <c r="AG68" s="2"/>
    </row>
    <row r="69" s="30" customFormat="true" ht="47.25" hidden="false" customHeight="false" outlineLevel="0" collapsed="false">
      <c r="A69" s="2"/>
      <c r="B69" s="35" t="s">
        <v>170</v>
      </c>
      <c r="C69" s="32" t="s">
        <v>171</v>
      </c>
      <c r="D69" s="3" t="n">
        <v>1997</v>
      </c>
      <c r="E69" s="20" t="s">
        <v>172</v>
      </c>
      <c r="F69" s="32" t="s">
        <v>51</v>
      </c>
      <c r="G69" s="32" t="s">
        <v>58</v>
      </c>
      <c r="H69" s="32" t="s">
        <v>47</v>
      </c>
      <c r="I69" s="32" t="s">
        <v>75</v>
      </c>
      <c r="J69" s="32" t="s">
        <v>58</v>
      </c>
      <c r="K69" s="32" t="n">
        <v>150</v>
      </c>
      <c r="L69" s="32" t="s">
        <v>75</v>
      </c>
      <c r="M69" s="32" t="s">
        <v>75</v>
      </c>
      <c r="N69" s="32" t="s">
        <v>75</v>
      </c>
      <c r="O69" s="32" t="s">
        <v>59</v>
      </c>
      <c r="P69" s="3" t="s">
        <v>174</v>
      </c>
      <c r="Q69" s="32" t="s">
        <v>75</v>
      </c>
      <c r="R69" s="32" t="s">
        <v>47</v>
      </c>
      <c r="S69" s="32" t="s">
        <v>53</v>
      </c>
      <c r="T69" s="32" t="s">
        <v>53</v>
      </c>
      <c r="U69" s="3" t="s">
        <v>47</v>
      </c>
      <c r="V69" s="4" t="s">
        <v>175</v>
      </c>
      <c r="W69" s="33" t="n">
        <f aca="false">'Plepys data'!AE15</f>
        <v>0.638177934948647</v>
      </c>
      <c r="X69" s="2"/>
      <c r="Y69" s="2"/>
      <c r="Z69" s="2"/>
      <c r="AA69" s="2"/>
      <c r="AB69" s="2"/>
      <c r="AC69" s="2"/>
      <c r="AD69" s="2"/>
      <c r="AE69" s="2"/>
      <c r="AF69" s="2"/>
      <c r="AG69" s="2"/>
    </row>
    <row r="70" s="30" customFormat="true" ht="47.25" hidden="false" customHeight="false" outlineLevel="0" collapsed="false">
      <c r="A70" s="2"/>
      <c r="B70" s="35" t="s">
        <v>170</v>
      </c>
      <c r="C70" s="32" t="s">
        <v>171</v>
      </c>
      <c r="D70" s="3" t="n">
        <v>1997</v>
      </c>
      <c r="E70" s="20" t="s">
        <v>172</v>
      </c>
      <c r="F70" s="32" t="s">
        <v>51</v>
      </c>
      <c r="G70" s="32" t="s">
        <v>58</v>
      </c>
      <c r="H70" s="32" t="s">
        <v>47</v>
      </c>
      <c r="I70" s="32" t="s">
        <v>75</v>
      </c>
      <c r="J70" s="32" t="s">
        <v>58</v>
      </c>
      <c r="K70" s="32" t="n">
        <v>200</v>
      </c>
      <c r="L70" s="32" t="s">
        <v>75</v>
      </c>
      <c r="M70" s="32" t="s">
        <v>75</v>
      </c>
      <c r="N70" s="32" t="s">
        <v>75</v>
      </c>
      <c r="O70" s="32" t="s">
        <v>48</v>
      </c>
      <c r="P70" s="3" t="s">
        <v>174</v>
      </c>
      <c r="Q70" s="32" t="s">
        <v>75</v>
      </c>
      <c r="R70" s="32" t="s">
        <v>47</v>
      </c>
      <c r="S70" s="32" t="s">
        <v>53</v>
      </c>
      <c r="T70" s="32" t="s">
        <v>53</v>
      </c>
      <c r="U70" s="3" t="s">
        <v>47</v>
      </c>
      <c r="V70" s="4" t="s">
        <v>175</v>
      </c>
      <c r="W70" s="33" t="n">
        <f aca="false">'Plepys data'!AE16</f>
        <v>0.99272123214234</v>
      </c>
      <c r="X70" s="2"/>
      <c r="Y70" s="2"/>
      <c r="Z70" s="2"/>
      <c r="AA70" s="2"/>
      <c r="AB70" s="2"/>
      <c r="AC70" s="2"/>
      <c r="AD70" s="2"/>
      <c r="AE70" s="2"/>
      <c r="AF70" s="2"/>
      <c r="AG70" s="2"/>
    </row>
    <row r="71" s="30" customFormat="true" ht="47.25" hidden="false" customHeight="false" outlineLevel="0" collapsed="false">
      <c r="A71" s="35"/>
      <c r="B71" s="35" t="s">
        <v>170</v>
      </c>
      <c r="C71" s="32" t="s">
        <v>171</v>
      </c>
      <c r="D71" s="3" t="n">
        <v>1997</v>
      </c>
      <c r="E71" s="20" t="s">
        <v>172</v>
      </c>
      <c r="F71" s="32" t="s">
        <v>51</v>
      </c>
      <c r="G71" s="32" t="s">
        <v>58</v>
      </c>
      <c r="H71" s="32" t="s">
        <v>47</v>
      </c>
      <c r="I71" s="32" t="s">
        <v>75</v>
      </c>
      <c r="J71" s="32" t="s">
        <v>58</v>
      </c>
      <c r="K71" s="32" t="n">
        <v>200</v>
      </c>
      <c r="L71" s="32" t="s">
        <v>75</v>
      </c>
      <c r="M71" s="32" t="s">
        <v>75</v>
      </c>
      <c r="N71" s="32" t="s">
        <v>75</v>
      </c>
      <c r="O71" s="32" t="s">
        <v>48</v>
      </c>
      <c r="P71" s="3" t="s">
        <v>174</v>
      </c>
      <c r="Q71" s="32" t="s">
        <v>75</v>
      </c>
      <c r="R71" s="32" t="s">
        <v>47</v>
      </c>
      <c r="S71" s="32" t="s">
        <v>53</v>
      </c>
      <c r="T71" s="32" t="s">
        <v>53</v>
      </c>
      <c r="U71" s="3" t="s">
        <v>47</v>
      </c>
      <c r="V71" s="4" t="s">
        <v>175</v>
      </c>
      <c r="W71" s="33" t="n">
        <f aca="false">'Plepys data'!AE17</f>
        <v>1.25508327206567</v>
      </c>
      <c r="X71" s="2"/>
      <c r="Y71" s="2"/>
      <c r="Z71" s="2"/>
      <c r="AA71" s="2"/>
      <c r="AB71" s="2"/>
      <c r="AC71" s="2"/>
      <c r="AD71" s="2"/>
      <c r="AE71" s="2"/>
      <c r="AF71" s="2"/>
      <c r="AG71" s="2"/>
    </row>
    <row r="72" s="30" customFormat="true" ht="47.25" hidden="false" customHeight="false" outlineLevel="0" collapsed="false">
      <c r="A72" s="35"/>
      <c r="B72" s="35" t="s">
        <v>170</v>
      </c>
      <c r="C72" s="32" t="s">
        <v>171</v>
      </c>
      <c r="D72" s="3" t="n">
        <v>1997</v>
      </c>
      <c r="E72" s="20" t="s">
        <v>172</v>
      </c>
      <c r="F72" s="32" t="s">
        <v>51</v>
      </c>
      <c r="G72" s="32" t="s">
        <v>58</v>
      </c>
      <c r="H72" s="32" t="s">
        <v>47</v>
      </c>
      <c r="I72" s="32" t="s">
        <v>75</v>
      </c>
      <c r="J72" s="32" t="s">
        <v>58</v>
      </c>
      <c r="K72" s="32" t="s">
        <v>75</v>
      </c>
      <c r="L72" s="32" t="s">
        <v>75</v>
      </c>
      <c r="M72" s="32" t="s">
        <v>75</v>
      </c>
      <c r="N72" s="32" t="s">
        <v>75</v>
      </c>
      <c r="O72" s="32" t="s">
        <v>48</v>
      </c>
      <c r="P72" s="3" t="s">
        <v>174</v>
      </c>
      <c r="Q72" s="32" t="s">
        <v>75</v>
      </c>
      <c r="R72" s="32" t="s">
        <v>47</v>
      </c>
      <c r="S72" s="32" t="s">
        <v>53</v>
      </c>
      <c r="T72" s="32" t="s">
        <v>53</v>
      </c>
      <c r="U72" s="3" t="s">
        <v>47</v>
      </c>
      <c r="V72" s="4" t="s">
        <v>175</v>
      </c>
      <c r="W72" s="33" t="n">
        <f aca="false">'Plepys data'!AE18</f>
        <v>0.567269275509908</v>
      </c>
      <c r="X72" s="2"/>
      <c r="Y72" s="2"/>
      <c r="Z72" s="2"/>
      <c r="AA72" s="2"/>
      <c r="AB72" s="2"/>
      <c r="AC72" s="2"/>
      <c r="AD72" s="2"/>
      <c r="AE72" s="2"/>
      <c r="AF72" s="2"/>
      <c r="AG72" s="2"/>
    </row>
    <row r="73" s="30" customFormat="true" ht="47.25" hidden="false" customHeight="false" outlineLevel="0" collapsed="false">
      <c r="A73" s="35"/>
      <c r="B73" s="35" t="s">
        <v>170</v>
      </c>
      <c r="C73" s="32" t="s">
        <v>171</v>
      </c>
      <c r="D73" s="3" t="n">
        <v>1997</v>
      </c>
      <c r="E73" s="20" t="s">
        <v>172</v>
      </c>
      <c r="F73" s="32" t="s">
        <v>51</v>
      </c>
      <c r="G73" s="32" t="s">
        <v>58</v>
      </c>
      <c r="H73" s="32" t="s">
        <v>47</v>
      </c>
      <c r="I73" s="32" t="s">
        <v>75</v>
      </c>
      <c r="J73" s="32" t="s">
        <v>58</v>
      </c>
      <c r="K73" s="32" t="s">
        <v>75</v>
      </c>
      <c r="L73" s="32" t="s">
        <v>75</v>
      </c>
      <c r="M73" s="32" t="s">
        <v>75</v>
      </c>
      <c r="N73" s="32" t="s">
        <v>75</v>
      </c>
      <c r="O73" s="32" t="s">
        <v>48</v>
      </c>
      <c r="P73" s="3" t="s">
        <v>174</v>
      </c>
      <c r="Q73" s="32" t="s">
        <v>75</v>
      </c>
      <c r="R73" s="32" t="s">
        <v>47</v>
      </c>
      <c r="S73" s="32" t="s">
        <v>53</v>
      </c>
      <c r="T73" s="32" t="s">
        <v>53</v>
      </c>
      <c r="U73" s="3" t="s">
        <v>47</v>
      </c>
      <c r="V73" s="4" t="s">
        <v>175</v>
      </c>
      <c r="W73" s="33" t="n">
        <f aca="false">'Plepys data'!AE19</f>
        <v>1.13453855101982</v>
      </c>
      <c r="X73" s="2"/>
      <c r="Y73" s="2"/>
      <c r="Z73" s="2"/>
      <c r="AA73" s="2"/>
      <c r="AB73" s="2"/>
      <c r="AC73" s="2"/>
      <c r="AD73" s="2"/>
      <c r="AE73" s="2"/>
      <c r="AF73" s="2"/>
      <c r="AG73" s="2"/>
    </row>
    <row r="74" s="30" customFormat="true" ht="47.25" hidden="false" customHeight="false" outlineLevel="0" collapsed="false">
      <c r="A74" s="35"/>
      <c r="B74" s="35" t="s">
        <v>170</v>
      </c>
      <c r="C74" s="32" t="s">
        <v>171</v>
      </c>
      <c r="D74" s="3" t="n">
        <v>1998</v>
      </c>
      <c r="E74" s="20" t="s">
        <v>172</v>
      </c>
      <c r="F74" s="32" t="s">
        <v>51</v>
      </c>
      <c r="G74" s="32" t="s">
        <v>58</v>
      </c>
      <c r="H74" s="32" t="s">
        <v>47</v>
      </c>
      <c r="I74" s="32" t="s">
        <v>75</v>
      </c>
      <c r="J74" s="32" t="s">
        <v>58</v>
      </c>
      <c r="K74" s="32" t="s">
        <v>75</v>
      </c>
      <c r="L74" s="32" t="s">
        <v>75</v>
      </c>
      <c r="M74" s="32" t="s">
        <v>75</v>
      </c>
      <c r="N74" s="32" t="s">
        <v>75</v>
      </c>
      <c r="O74" s="32" t="s">
        <v>48</v>
      </c>
      <c r="P74" s="3" t="s">
        <v>174</v>
      </c>
      <c r="Q74" s="32" t="s">
        <v>75</v>
      </c>
      <c r="R74" s="32" t="s">
        <v>47</v>
      </c>
      <c r="S74" s="32" t="s">
        <v>53</v>
      </c>
      <c r="T74" s="32" t="s">
        <v>53</v>
      </c>
      <c r="U74" s="3" t="s">
        <v>47</v>
      </c>
      <c r="V74" s="4" t="s">
        <v>175</v>
      </c>
      <c r="W74" s="33" t="n">
        <f aca="false">'Plepys data'!AE20</f>
        <v>0.815449583545493</v>
      </c>
      <c r="X74" s="2"/>
      <c r="Y74" s="2"/>
      <c r="Z74" s="2"/>
      <c r="AA74" s="2"/>
      <c r="AB74" s="2"/>
      <c r="AC74" s="2"/>
      <c r="AD74" s="2"/>
      <c r="AE74" s="2"/>
      <c r="AF74" s="2"/>
      <c r="AG74" s="2"/>
    </row>
    <row r="75" s="30" customFormat="true" ht="47.25" hidden="false" customHeight="false" outlineLevel="0" collapsed="false">
      <c r="A75" s="35"/>
      <c r="B75" s="35" t="s">
        <v>170</v>
      </c>
      <c r="C75" s="32" t="s">
        <v>171</v>
      </c>
      <c r="D75" s="3" t="n">
        <v>1998</v>
      </c>
      <c r="E75" s="20" t="s">
        <v>172</v>
      </c>
      <c r="F75" s="32" t="s">
        <v>51</v>
      </c>
      <c r="G75" s="32" t="s">
        <v>58</v>
      </c>
      <c r="H75" s="32" t="s">
        <v>47</v>
      </c>
      <c r="I75" s="32" t="s">
        <v>75</v>
      </c>
      <c r="J75" s="32" t="s">
        <v>58</v>
      </c>
      <c r="K75" s="32" t="n">
        <v>200</v>
      </c>
      <c r="L75" s="32" t="s">
        <v>75</v>
      </c>
      <c r="M75" s="32" t="s">
        <v>75</v>
      </c>
      <c r="N75" s="32" t="s">
        <v>75</v>
      </c>
      <c r="O75" s="32" t="s">
        <v>65</v>
      </c>
      <c r="P75" s="3" t="s">
        <v>174</v>
      </c>
      <c r="Q75" s="32" t="s">
        <v>75</v>
      </c>
      <c r="R75" s="32" t="s">
        <v>47</v>
      </c>
      <c r="S75" s="32" t="s">
        <v>53</v>
      </c>
      <c r="T75" s="32" t="s">
        <v>53</v>
      </c>
      <c r="U75" s="3" t="s">
        <v>47</v>
      </c>
      <c r="V75" s="4" t="s">
        <v>175</v>
      </c>
      <c r="W75" s="33" t="n">
        <f aca="false">'Plepys data'!AE21</f>
        <v>1.10617508724432</v>
      </c>
      <c r="X75" s="2"/>
      <c r="Y75" s="2"/>
      <c r="Z75" s="2"/>
      <c r="AA75" s="2"/>
      <c r="AB75" s="2"/>
      <c r="AC75" s="2"/>
      <c r="AD75" s="2"/>
      <c r="AE75" s="2"/>
      <c r="AF75" s="2"/>
      <c r="AG75" s="2"/>
    </row>
    <row r="76" s="30" customFormat="true" ht="47.25" hidden="false" customHeight="false" outlineLevel="0" collapsed="false">
      <c r="A76" s="35"/>
      <c r="B76" s="35" t="s">
        <v>170</v>
      </c>
      <c r="C76" s="32" t="s">
        <v>171</v>
      </c>
      <c r="D76" s="3" t="n">
        <v>1996</v>
      </c>
      <c r="E76" s="20" t="s">
        <v>172</v>
      </c>
      <c r="F76" s="32" t="s">
        <v>51</v>
      </c>
      <c r="G76" s="32" t="s">
        <v>58</v>
      </c>
      <c r="H76" s="32" t="s">
        <v>47</v>
      </c>
      <c r="I76" s="32" t="s">
        <v>75</v>
      </c>
      <c r="J76" s="32" t="s">
        <v>58</v>
      </c>
      <c r="K76" s="32" t="n">
        <v>200</v>
      </c>
      <c r="L76" s="32" t="s">
        <v>75</v>
      </c>
      <c r="M76" s="32" t="s">
        <v>75</v>
      </c>
      <c r="N76" s="32" t="s">
        <v>75</v>
      </c>
      <c r="O76" s="32" t="s">
        <v>48</v>
      </c>
      <c r="P76" s="3" t="s">
        <v>174</v>
      </c>
      <c r="Q76" s="32" t="s">
        <v>75</v>
      </c>
      <c r="R76" s="32" t="s">
        <v>47</v>
      </c>
      <c r="S76" s="32" t="s">
        <v>53</v>
      </c>
      <c r="T76" s="32" t="s">
        <v>53</v>
      </c>
      <c r="U76" s="3" t="s">
        <v>47</v>
      </c>
      <c r="V76" s="4" t="s">
        <v>175</v>
      </c>
      <c r="W76" s="33" t="n">
        <f aca="false">'Plepys data'!AE22</f>
        <v>1.07781162346883</v>
      </c>
      <c r="X76" s="2"/>
      <c r="Y76" s="2"/>
      <c r="Z76" s="2"/>
      <c r="AA76" s="2"/>
      <c r="AB76" s="2"/>
      <c r="AC76" s="2"/>
      <c r="AD76" s="2"/>
      <c r="AE76" s="2"/>
      <c r="AF76" s="2"/>
      <c r="AG76" s="2"/>
    </row>
    <row r="77" s="30" customFormat="true" ht="47.25" hidden="false" customHeight="false" outlineLevel="0" collapsed="false">
      <c r="A77" s="35"/>
      <c r="B77" s="35" t="s">
        <v>170</v>
      </c>
      <c r="C77" s="32" t="s">
        <v>171</v>
      </c>
      <c r="D77" s="3" t="n">
        <v>1999</v>
      </c>
      <c r="E77" s="20" t="s">
        <v>172</v>
      </c>
      <c r="F77" s="32" t="s">
        <v>51</v>
      </c>
      <c r="G77" s="32" t="s">
        <v>58</v>
      </c>
      <c r="H77" s="32" t="s">
        <v>47</v>
      </c>
      <c r="I77" s="32" t="s">
        <v>75</v>
      </c>
      <c r="J77" s="32" t="s">
        <v>58</v>
      </c>
      <c r="K77" s="32" t="n">
        <v>200</v>
      </c>
      <c r="L77" s="32" t="s">
        <v>75</v>
      </c>
      <c r="M77" s="32" t="s">
        <v>75</v>
      </c>
      <c r="N77" s="32" t="s">
        <v>75</v>
      </c>
      <c r="O77" s="32" t="s">
        <v>65</v>
      </c>
      <c r="P77" s="3" t="s">
        <v>174</v>
      </c>
      <c r="Q77" s="32" t="s">
        <v>75</v>
      </c>
      <c r="R77" s="32" t="s">
        <v>47</v>
      </c>
      <c r="S77" s="32" t="s">
        <v>53</v>
      </c>
      <c r="T77" s="32" t="s">
        <v>53</v>
      </c>
      <c r="U77" s="3" t="s">
        <v>47</v>
      </c>
      <c r="V77" s="4" t="s">
        <v>175</v>
      </c>
      <c r="W77" s="33" t="n">
        <f aca="false">'Plepys data'!AE23</f>
        <v>0.95726690242297</v>
      </c>
      <c r="X77" s="2"/>
      <c r="Y77" s="2"/>
      <c r="Z77" s="2"/>
      <c r="AA77" s="2"/>
      <c r="AB77" s="2"/>
      <c r="AC77" s="2"/>
      <c r="AD77" s="2"/>
      <c r="AE77" s="2"/>
      <c r="AF77" s="2"/>
      <c r="AG77" s="2"/>
    </row>
    <row r="78" s="30" customFormat="true" ht="47.25" hidden="false" customHeight="false" outlineLevel="0" collapsed="false">
      <c r="A78" s="35"/>
      <c r="B78" s="35" t="s">
        <v>170</v>
      </c>
      <c r="C78" s="32" t="s">
        <v>171</v>
      </c>
      <c r="D78" s="3" t="n">
        <v>2000</v>
      </c>
      <c r="E78" s="20" t="s">
        <v>172</v>
      </c>
      <c r="F78" s="32" t="s">
        <v>51</v>
      </c>
      <c r="G78" s="32" t="s">
        <v>58</v>
      </c>
      <c r="H78" s="32" t="s">
        <v>47</v>
      </c>
      <c r="I78" s="32" t="s">
        <v>75</v>
      </c>
      <c r="J78" s="32" t="s">
        <v>58</v>
      </c>
      <c r="K78" s="32" t="n">
        <v>200</v>
      </c>
      <c r="L78" s="32" t="s">
        <v>75</v>
      </c>
      <c r="M78" s="32" t="s">
        <v>75</v>
      </c>
      <c r="N78" s="32" t="s">
        <v>75</v>
      </c>
      <c r="O78" s="32" t="s">
        <v>65</v>
      </c>
      <c r="P78" s="3" t="s">
        <v>174</v>
      </c>
      <c r="Q78" s="32" t="s">
        <v>75</v>
      </c>
      <c r="R78" s="32" t="s">
        <v>47</v>
      </c>
      <c r="S78" s="32" t="s">
        <v>53</v>
      </c>
      <c r="T78" s="32" t="s">
        <v>53</v>
      </c>
      <c r="U78" s="3" t="s">
        <v>47</v>
      </c>
      <c r="V78" s="4" t="s">
        <v>175</v>
      </c>
      <c r="W78" s="33" t="n">
        <f aca="false">'Plepys data'!AE24</f>
        <v>0.872176511096484</v>
      </c>
      <c r="X78" s="2"/>
      <c r="Y78" s="2"/>
      <c r="Z78" s="2"/>
      <c r="AA78" s="2"/>
      <c r="AB78" s="2"/>
      <c r="AC78" s="2"/>
      <c r="AD78" s="2"/>
      <c r="AE78" s="2"/>
      <c r="AF78" s="2"/>
      <c r="AG78" s="2"/>
    </row>
    <row r="79" s="30" customFormat="true" ht="47.25" hidden="false" customHeight="false" outlineLevel="0" collapsed="false">
      <c r="A79" s="2"/>
      <c r="B79" s="35" t="s">
        <v>170</v>
      </c>
      <c r="C79" s="32" t="s">
        <v>171</v>
      </c>
      <c r="D79" s="3" t="n">
        <v>2000</v>
      </c>
      <c r="E79" s="20" t="s">
        <v>172</v>
      </c>
      <c r="F79" s="32" t="s">
        <v>51</v>
      </c>
      <c r="G79" s="32" t="s">
        <v>58</v>
      </c>
      <c r="H79" s="32" t="s">
        <v>47</v>
      </c>
      <c r="I79" s="32" t="s">
        <v>75</v>
      </c>
      <c r="J79" s="32" t="s">
        <v>58</v>
      </c>
      <c r="K79" s="32" t="n">
        <v>200</v>
      </c>
      <c r="L79" s="32" t="s">
        <v>75</v>
      </c>
      <c r="M79" s="32" t="s">
        <v>75</v>
      </c>
      <c r="N79" s="32" t="s">
        <v>75</v>
      </c>
      <c r="O79" s="32" t="s">
        <v>65</v>
      </c>
      <c r="P79" s="3" t="s">
        <v>174</v>
      </c>
      <c r="Q79" s="32" t="s">
        <v>75</v>
      </c>
      <c r="R79" s="32" t="s">
        <v>47</v>
      </c>
      <c r="S79" s="32" t="s">
        <v>53</v>
      </c>
      <c r="T79" s="32" t="s">
        <v>53</v>
      </c>
      <c r="U79" s="3" t="s">
        <v>47</v>
      </c>
      <c r="V79" s="4" t="s">
        <v>175</v>
      </c>
      <c r="W79" s="33" t="n">
        <f aca="false">'Plepys data'!AE25</f>
        <v>0.843813047320989</v>
      </c>
      <c r="X79" s="2"/>
      <c r="Y79" s="2"/>
      <c r="Z79" s="2"/>
      <c r="AA79" s="2"/>
      <c r="AB79" s="2"/>
      <c r="AC79" s="2"/>
      <c r="AD79" s="2"/>
      <c r="AE79" s="2"/>
      <c r="AF79" s="2"/>
      <c r="AG79" s="2"/>
    </row>
    <row r="80" s="30" customFormat="true" ht="47.25" hidden="false" customHeight="false" outlineLevel="0" collapsed="false">
      <c r="A80" s="2"/>
      <c r="B80" s="35" t="s">
        <v>170</v>
      </c>
      <c r="C80" s="32" t="s">
        <v>171</v>
      </c>
      <c r="D80" s="3" t="n">
        <v>2001</v>
      </c>
      <c r="E80" s="20" t="s">
        <v>172</v>
      </c>
      <c r="F80" s="32" t="s">
        <v>51</v>
      </c>
      <c r="G80" s="32" t="s">
        <v>58</v>
      </c>
      <c r="H80" s="32" t="s">
        <v>47</v>
      </c>
      <c r="I80" s="32" t="s">
        <v>75</v>
      </c>
      <c r="J80" s="32" t="s">
        <v>58</v>
      </c>
      <c r="K80" s="32" t="n">
        <v>300</v>
      </c>
      <c r="L80" s="32" t="s">
        <v>75</v>
      </c>
      <c r="M80" s="32" t="s">
        <v>75</v>
      </c>
      <c r="N80" s="32" t="s">
        <v>75</v>
      </c>
      <c r="O80" s="32" t="s">
        <v>48</v>
      </c>
      <c r="P80" s="3" t="s">
        <v>174</v>
      </c>
      <c r="Q80" s="32" t="s">
        <v>75</v>
      </c>
      <c r="R80" s="32" t="s">
        <v>47</v>
      </c>
      <c r="S80" s="32" t="s">
        <v>53</v>
      </c>
      <c r="T80" s="32" t="s">
        <v>53</v>
      </c>
      <c r="U80" s="3" t="s">
        <v>47</v>
      </c>
      <c r="V80" s="4" t="s">
        <v>175</v>
      </c>
      <c r="W80" s="33" t="n">
        <f aca="false">'Plepys data'!AE26</f>
        <v>1.40399145688702</v>
      </c>
      <c r="X80" s="2"/>
      <c r="Y80" s="2"/>
      <c r="Z80" s="2"/>
      <c r="AA80" s="2"/>
      <c r="AB80" s="2"/>
      <c r="AC80" s="2"/>
      <c r="AD80" s="2"/>
      <c r="AE80" s="2"/>
      <c r="AF80" s="2"/>
      <c r="AG80" s="2"/>
    </row>
    <row r="81" s="30" customFormat="true" ht="47.25" hidden="false" customHeight="false" outlineLevel="0" collapsed="false">
      <c r="A81" s="2"/>
      <c r="B81" s="35" t="s">
        <v>170</v>
      </c>
      <c r="C81" s="32" t="s">
        <v>171</v>
      </c>
      <c r="D81" s="3" t="n">
        <v>2002</v>
      </c>
      <c r="E81" s="20" t="s">
        <v>172</v>
      </c>
      <c r="F81" s="32" t="s">
        <v>51</v>
      </c>
      <c r="G81" s="32" t="s">
        <v>58</v>
      </c>
      <c r="H81" s="32" t="s">
        <v>47</v>
      </c>
      <c r="I81" s="32" t="s">
        <v>75</v>
      </c>
      <c r="J81" s="32" t="s">
        <v>58</v>
      </c>
      <c r="K81" s="32" t="n">
        <v>300</v>
      </c>
      <c r="L81" s="32" t="s">
        <v>75</v>
      </c>
      <c r="M81" s="32" t="s">
        <v>75</v>
      </c>
      <c r="N81" s="32" t="s">
        <v>75</v>
      </c>
      <c r="O81" s="32" t="s">
        <v>65</v>
      </c>
      <c r="P81" s="3" t="s">
        <v>174</v>
      </c>
      <c r="Q81" s="32" t="s">
        <v>75</v>
      </c>
      <c r="R81" s="32" t="s">
        <v>47</v>
      </c>
      <c r="S81" s="32" t="s">
        <v>53</v>
      </c>
      <c r="T81" s="32" t="s">
        <v>53</v>
      </c>
      <c r="U81" s="3" t="s">
        <v>47</v>
      </c>
      <c r="V81" s="4" t="s">
        <v>175</v>
      </c>
      <c r="W81" s="33" t="n">
        <f aca="false">'Plepys data'!AE27</f>
        <v>0.354543297193693</v>
      </c>
      <c r="X81" s="2"/>
      <c r="Y81" s="2"/>
      <c r="Z81" s="2"/>
      <c r="AA81" s="2"/>
      <c r="AB81" s="2"/>
      <c r="AC81" s="2"/>
      <c r="AD81" s="2"/>
      <c r="AE81" s="2"/>
      <c r="AF81" s="2"/>
      <c r="AG81" s="2"/>
    </row>
    <row r="82" s="30" customFormat="true" ht="47.25" hidden="false" customHeight="false" outlineLevel="0" collapsed="false">
      <c r="A82" s="2"/>
      <c r="B82" s="35" t="s">
        <v>170</v>
      </c>
      <c r="C82" s="32" t="s">
        <v>171</v>
      </c>
      <c r="D82" s="3" t="n">
        <v>2002</v>
      </c>
      <c r="E82" s="20" t="s">
        <v>172</v>
      </c>
      <c r="F82" s="32" t="s">
        <v>51</v>
      </c>
      <c r="G82" s="32" t="s">
        <v>58</v>
      </c>
      <c r="H82" s="32" t="s">
        <v>47</v>
      </c>
      <c r="I82" s="32" t="s">
        <v>75</v>
      </c>
      <c r="J82" s="32" t="s">
        <v>58</v>
      </c>
      <c r="K82" s="32" t="n">
        <v>300</v>
      </c>
      <c r="L82" s="32" t="s">
        <v>75</v>
      </c>
      <c r="M82" s="32" t="s">
        <v>75</v>
      </c>
      <c r="N82" s="32" t="s">
        <v>75</v>
      </c>
      <c r="O82" s="32" t="s">
        <v>65</v>
      </c>
      <c r="P82" s="3" t="s">
        <v>174</v>
      </c>
      <c r="Q82" s="32" t="s">
        <v>75</v>
      </c>
      <c r="R82" s="32" t="s">
        <v>47</v>
      </c>
      <c r="S82" s="32" t="s">
        <v>53</v>
      </c>
      <c r="T82" s="32" t="s">
        <v>53</v>
      </c>
      <c r="U82" s="3" t="s">
        <v>47</v>
      </c>
      <c r="V82" s="4" t="s">
        <v>175</v>
      </c>
      <c r="W82" s="33" t="n">
        <f aca="false">'Plepys data'!AE28</f>
        <v>0.49636061607117</v>
      </c>
      <c r="X82" s="2"/>
      <c r="Y82" s="2"/>
      <c r="Z82" s="2"/>
      <c r="AA82" s="2"/>
      <c r="AB82" s="2"/>
      <c r="AC82" s="2"/>
      <c r="AD82" s="2"/>
      <c r="AE82" s="2"/>
      <c r="AF82" s="2"/>
      <c r="AG82" s="2"/>
    </row>
    <row r="83" s="30" customFormat="true" ht="47.25" hidden="false" customHeight="false" outlineLevel="0" collapsed="false">
      <c r="A83" s="2"/>
      <c r="B83" s="35" t="s">
        <v>170</v>
      </c>
      <c r="C83" s="32" t="s">
        <v>171</v>
      </c>
      <c r="D83" s="3" t="n">
        <v>2002</v>
      </c>
      <c r="E83" s="20" t="s">
        <v>172</v>
      </c>
      <c r="F83" s="32" t="s">
        <v>51</v>
      </c>
      <c r="G83" s="32" t="s">
        <v>58</v>
      </c>
      <c r="H83" s="32" t="s">
        <v>47</v>
      </c>
      <c r="I83" s="32" t="s">
        <v>75</v>
      </c>
      <c r="J83" s="32" t="s">
        <v>58</v>
      </c>
      <c r="K83" s="32" t="n">
        <v>300</v>
      </c>
      <c r="L83" s="32" t="s">
        <v>75</v>
      </c>
      <c r="M83" s="32" t="s">
        <v>75</v>
      </c>
      <c r="N83" s="32" t="s">
        <v>75</v>
      </c>
      <c r="O83" s="32" t="s">
        <v>65</v>
      </c>
      <c r="P83" s="3" t="s">
        <v>174</v>
      </c>
      <c r="Q83" s="32" t="s">
        <v>75</v>
      </c>
      <c r="R83" s="32" t="s">
        <v>47</v>
      </c>
      <c r="S83" s="32" t="s">
        <v>53</v>
      </c>
      <c r="T83" s="32" t="s">
        <v>53</v>
      </c>
      <c r="U83" s="3" t="s">
        <v>47</v>
      </c>
      <c r="V83" s="4" t="s">
        <v>175</v>
      </c>
      <c r="W83" s="33" t="n">
        <f aca="false">'Plepys data'!AE29</f>
        <v>1.30471933367279</v>
      </c>
      <c r="X83" s="2"/>
      <c r="Y83" s="2"/>
      <c r="Z83" s="2"/>
      <c r="AA83" s="2"/>
      <c r="AB83" s="2"/>
      <c r="AC83" s="2"/>
      <c r="AD83" s="2"/>
      <c r="AE83" s="2"/>
      <c r="AF83" s="2"/>
      <c r="AG83" s="2"/>
    </row>
    <row r="84" s="30" customFormat="true" ht="47.25" hidden="false" customHeight="false" outlineLevel="0" collapsed="false">
      <c r="A84" s="2"/>
      <c r="B84" s="35" t="s">
        <v>170</v>
      </c>
      <c r="C84" s="32" t="s">
        <v>171</v>
      </c>
      <c r="D84" s="3" t="n">
        <v>2002</v>
      </c>
      <c r="E84" s="20" t="s">
        <v>172</v>
      </c>
      <c r="F84" s="32" t="s">
        <v>51</v>
      </c>
      <c r="G84" s="32" t="s">
        <v>58</v>
      </c>
      <c r="H84" s="32" t="s">
        <v>47</v>
      </c>
      <c r="I84" s="32" t="s">
        <v>75</v>
      </c>
      <c r="J84" s="32" t="s">
        <v>58</v>
      </c>
      <c r="K84" s="32" t="n">
        <v>200</v>
      </c>
      <c r="L84" s="32" t="s">
        <v>75</v>
      </c>
      <c r="M84" s="32" t="s">
        <v>75</v>
      </c>
      <c r="N84" s="32" t="s">
        <v>75</v>
      </c>
      <c r="O84" s="32" t="s">
        <v>48</v>
      </c>
      <c r="P84" s="3" t="s">
        <v>174</v>
      </c>
      <c r="Q84" s="32" t="s">
        <v>75</v>
      </c>
      <c r="R84" s="32" t="s">
        <v>47</v>
      </c>
      <c r="S84" s="32" t="s">
        <v>53</v>
      </c>
      <c r="T84" s="32" t="s">
        <v>53</v>
      </c>
      <c r="U84" s="3" t="s">
        <v>47</v>
      </c>
      <c r="V84" s="4" t="s">
        <v>175</v>
      </c>
      <c r="W84" s="33" t="n">
        <f aca="false">'Plepys data'!AE31</f>
        <v>2.42507615280486</v>
      </c>
      <c r="X84" s="2"/>
      <c r="Y84" s="2"/>
      <c r="Z84" s="2"/>
      <c r="AA84" s="2"/>
      <c r="AB84" s="2"/>
      <c r="AC84" s="2"/>
      <c r="AD84" s="2"/>
      <c r="AE84" s="2"/>
      <c r="AF84" s="2"/>
      <c r="AG84" s="2"/>
    </row>
    <row r="85" s="30" customFormat="true" ht="47.25" hidden="false" customHeight="false" outlineLevel="0" collapsed="false">
      <c r="A85" s="2"/>
      <c r="B85" s="35" t="s">
        <v>170</v>
      </c>
      <c r="C85" s="32" t="s">
        <v>171</v>
      </c>
      <c r="D85" s="3" t="n">
        <v>2003</v>
      </c>
      <c r="E85" s="20" t="s">
        <v>172</v>
      </c>
      <c r="F85" s="32" t="s">
        <v>51</v>
      </c>
      <c r="G85" s="32" t="s">
        <v>58</v>
      </c>
      <c r="H85" s="32" t="s">
        <v>47</v>
      </c>
      <c r="I85" s="32" t="s">
        <v>75</v>
      </c>
      <c r="J85" s="32" t="s">
        <v>58</v>
      </c>
      <c r="K85" s="32" t="n">
        <v>200</v>
      </c>
      <c r="L85" s="32" t="s">
        <v>75</v>
      </c>
      <c r="M85" s="32" t="s">
        <v>75</v>
      </c>
      <c r="N85" s="32" t="s">
        <v>75</v>
      </c>
      <c r="O85" s="32" t="s">
        <v>48</v>
      </c>
      <c r="P85" s="3" t="s">
        <v>174</v>
      </c>
      <c r="Q85" s="32" t="s">
        <v>75</v>
      </c>
      <c r="R85" s="32" t="s">
        <v>47</v>
      </c>
      <c r="S85" s="32" t="s">
        <v>53</v>
      </c>
      <c r="T85" s="32" t="s">
        <v>53</v>
      </c>
      <c r="U85" s="3" t="s">
        <v>47</v>
      </c>
      <c r="V85" s="4" t="s">
        <v>175</v>
      </c>
      <c r="W85" s="33" t="n">
        <f aca="false">'Plepys data'!AE33</f>
        <v>1.26926500395342</v>
      </c>
      <c r="X85" s="2"/>
      <c r="Y85" s="2"/>
      <c r="Z85" s="2"/>
      <c r="AA85" s="2"/>
      <c r="AB85" s="2"/>
      <c r="AC85" s="2"/>
      <c r="AD85" s="2"/>
      <c r="AE85" s="2"/>
      <c r="AF85" s="2"/>
      <c r="AG85" s="2"/>
    </row>
    <row r="86" s="30" customFormat="true" ht="47.25" hidden="false" customHeight="false" outlineLevel="0" collapsed="false">
      <c r="A86" s="2"/>
      <c r="B86" s="35" t="s">
        <v>116</v>
      </c>
      <c r="C86" s="32" t="s">
        <v>117</v>
      </c>
      <c r="D86" s="3" t="n">
        <v>1995</v>
      </c>
      <c r="E86" s="31" t="s">
        <v>176</v>
      </c>
      <c r="F86" s="32" t="s">
        <v>51</v>
      </c>
      <c r="G86" s="32" t="s">
        <v>58</v>
      </c>
      <c r="H86" s="32" t="s">
        <v>47</v>
      </c>
      <c r="I86" s="32" t="s">
        <v>75</v>
      </c>
      <c r="J86" s="3" t="s">
        <v>75</v>
      </c>
      <c r="K86" s="3" t="s">
        <v>75</v>
      </c>
      <c r="L86" s="32" t="s">
        <v>47</v>
      </c>
      <c r="M86" s="3" t="s">
        <v>75</v>
      </c>
      <c r="N86" s="3" t="s">
        <v>75</v>
      </c>
      <c r="O86" s="3" t="s">
        <v>75</v>
      </c>
      <c r="P86" s="3" t="s">
        <v>119</v>
      </c>
      <c r="Q86" s="3" t="s">
        <v>75</v>
      </c>
      <c r="R86" s="32" t="s">
        <v>47</v>
      </c>
      <c r="S86" s="32" t="s">
        <v>53</v>
      </c>
      <c r="T86" s="32" t="s">
        <v>53</v>
      </c>
      <c r="U86" s="3" t="s">
        <v>47</v>
      </c>
      <c r="V86" s="4" t="s">
        <v>177</v>
      </c>
      <c r="W86" s="33" t="n">
        <f aca="false">'Ercan data'!I9</f>
        <v>1</v>
      </c>
      <c r="X86" s="2"/>
      <c r="Y86" s="2"/>
      <c r="Z86" s="2"/>
      <c r="AA86" s="2"/>
      <c r="AB86" s="2"/>
      <c r="AC86" s="2"/>
      <c r="AD86" s="2"/>
      <c r="AE86" s="2"/>
      <c r="AF86" s="2"/>
      <c r="AG86" s="2"/>
    </row>
    <row r="87" s="30" customFormat="true" ht="47.25" hidden="false" customHeight="false" outlineLevel="0" collapsed="false">
      <c r="A87" s="2"/>
      <c r="B87" s="35" t="s">
        <v>116</v>
      </c>
      <c r="C87" s="32" t="s">
        <v>117</v>
      </c>
      <c r="D87" s="3" t="n">
        <v>1995</v>
      </c>
      <c r="E87" s="31" t="s">
        <v>176</v>
      </c>
      <c r="F87" s="32" t="s">
        <v>51</v>
      </c>
      <c r="G87" s="32" t="s">
        <v>58</v>
      </c>
      <c r="H87" s="32" t="s">
        <v>47</v>
      </c>
      <c r="I87" s="32" t="s">
        <v>75</v>
      </c>
      <c r="J87" s="3" t="s">
        <v>75</v>
      </c>
      <c r="K87" s="3" t="s">
        <v>75</v>
      </c>
      <c r="L87" s="32" t="s">
        <v>47</v>
      </c>
      <c r="M87" s="3" t="s">
        <v>75</v>
      </c>
      <c r="N87" s="3" t="s">
        <v>75</v>
      </c>
      <c r="O87" s="3" t="s">
        <v>75</v>
      </c>
      <c r="P87" s="3" t="s">
        <v>119</v>
      </c>
      <c r="Q87" s="3" t="s">
        <v>75</v>
      </c>
      <c r="R87" s="32" t="s">
        <v>47</v>
      </c>
      <c r="S87" s="32" t="s">
        <v>53</v>
      </c>
      <c r="T87" s="32" t="s">
        <v>53</v>
      </c>
      <c r="U87" s="3" t="s">
        <v>47</v>
      </c>
      <c r="V87" s="4" t="s">
        <v>177</v>
      </c>
      <c r="W87" s="33" t="n">
        <f aca="false">'Ercan data'!I10</f>
        <v>1.5</v>
      </c>
      <c r="X87" s="2"/>
      <c r="Y87" s="2"/>
      <c r="Z87" s="2"/>
      <c r="AA87" s="2"/>
      <c r="AB87" s="2"/>
      <c r="AC87" s="2"/>
      <c r="AD87" s="2"/>
      <c r="AE87" s="2"/>
      <c r="AF87" s="2"/>
      <c r="AG87" s="2"/>
    </row>
    <row r="88" s="30" customFormat="true" ht="47.25" hidden="false" customHeight="false" outlineLevel="0" collapsed="false">
      <c r="A88" s="2"/>
      <c r="B88" s="35" t="s">
        <v>178</v>
      </c>
      <c r="C88" s="3" t="s">
        <v>179</v>
      </c>
      <c r="D88" s="3" t="n">
        <f aca="false">'Deng data'!U8</f>
        <v>2005</v>
      </c>
      <c r="E88" s="48" t="s">
        <v>180</v>
      </c>
      <c r="F88" s="32" t="s">
        <v>51</v>
      </c>
      <c r="G88" s="3" t="s">
        <v>46</v>
      </c>
      <c r="H88" s="3" t="s">
        <v>47</v>
      </c>
      <c r="I88" s="3" t="s">
        <v>53</v>
      </c>
      <c r="J88" s="3" t="s">
        <v>75</v>
      </c>
      <c r="K88" s="3" t="s">
        <v>75</v>
      </c>
      <c r="L88" s="3" t="s">
        <v>104</v>
      </c>
      <c r="M88" s="3" t="s">
        <v>75</v>
      </c>
      <c r="N88" s="3" t="s">
        <v>53</v>
      </c>
      <c r="O88" s="3" t="s">
        <v>54</v>
      </c>
      <c r="P88" s="3" t="s">
        <v>55</v>
      </c>
      <c r="Q88" s="32" t="s">
        <v>56</v>
      </c>
      <c r="R88" s="3" t="s">
        <v>47</v>
      </c>
      <c r="S88" s="3" t="s">
        <v>53</v>
      </c>
      <c r="T88" s="3" t="s">
        <v>53</v>
      </c>
      <c r="U88" s="3" t="s">
        <v>47</v>
      </c>
      <c r="V88" s="4" t="s">
        <v>181</v>
      </c>
      <c r="W88" s="49" t="n">
        <f aca="false">'Deng data'!X8</f>
        <v>1.03526642780558</v>
      </c>
      <c r="X88" s="2"/>
      <c r="Y88" s="2"/>
      <c r="Z88" s="2"/>
      <c r="AA88" s="2"/>
      <c r="AB88" s="2"/>
      <c r="AC88" s="2"/>
      <c r="AD88" s="2"/>
      <c r="AE88" s="2"/>
      <c r="AF88" s="2"/>
      <c r="AG88" s="2"/>
    </row>
    <row r="89" s="30" customFormat="true" ht="47.25" hidden="false" customHeight="false" outlineLevel="0" collapsed="false">
      <c r="A89" s="2"/>
      <c r="B89" s="35" t="s">
        <v>178</v>
      </c>
      <c r="C89" s="3" t="s">
        <v>179</v>
      </c>
      <c r="D89" s="3" t="n">
        <f aca="false">'Deng data'!U9</f>
        <v>2004</v>
      </c>
      <c r="E89" s="48" t="s">
        <v>182</v>
      </c>
      <c r="F89" s="32" t="s">
        <v>51</v>
      </c>
      <c r="G89" s="3" t="s">
        <v>46</v>
      </c>
      <c r="H89" s="3" t="s">
        <v>47</v>
      </c>
      <c r="I89" s="3" t="s">
        <v>53</v>
      </c>
      <c r="J89" s="3" t="s">
        <v>75</v>
      </c>
      <c r="K89" s="3" t="s">
        <v>75</v>
      </c>
      <c r="L89" s="3" t="s">
        <v>104</v>
      </c>
      <c r="M89" s="3" t="s">
        <v>75</v>
      </c>
      <c r="N89" s="3" t="s">
        <v>53</v>
      </c>
      <c r="O89" s="3" t="s">
        <v>54</v>
      </c>
      <c r="P89" s="3" t="s">
        <v>55</v>
      </c>
      <c r="Q89" s="32" t="s">
        <v>56</v>
      </c>
      <c r="R89" s="3" t="s">
        <v>47</v>
      </c>
      <c r="S89" s="3" t="s">
        <v>53</v>
      </c>
      <c r="T89" s="3" t="s">
        <v>53</v>
      </c>
      <c r="U89" s="3" t="s">
        <v>47</v>
      </c>
      <c r="V89" s="4" t="s">
        <v>183</v>
      </c>
      <c r="W89" s="49" t="n">
        <f aca="false">'Deng data'!X9</f>
        <v>1.00690296403009</v>
      </c>
      <c r="X89" s="2"/>
      <c r="Y89" s="2"/>
      <c r="Z89" s="2"/>
      <c r="AA89" s="2"/>
      <c r="AB89" s="2"/>
      <c r="AC89" s="2"/>
      <c r="AD89" s="2"/>
      <c r="AE89" s="2"/>
      <c r="AF89" s="2"/>
      <c r="AG89" s="2"/>
    </row>
    <row r="90" s="30" customFormat="true" ht="47.25" hidden="false" customHeight="false" outlineLevel="0" collapsed="false">
      <c r="A90" s="2"/>
      <c r="B90" s="35" t="s">
        <v>178</v>
      </c>
      <c r="C90" s="3" t="s">
        <v>179</v>
      </c>
      <c r="D90" s="3" t="n">
        <f aca="false">'Deng data'!U10</f>
        <v>2003</v>
      </c>
      <c r="E90" s="48" t="s">
        <v>184</v>
      </c>
      <c r="F90" s="32" t="s">
        <v>51</v>
      </c>
      <c r="G90" s="3" t="s">
        <v>46</v>
      </c>
      <c r="H90" s="3" t="s">
        <v>47</v>
      </c>
      <c r="I90" s="3" t="s">
        <v>53</v>
      </c>
      <c r="J90" s="3" t="s">
        <v>75</v>
      </c>
      <c r="K90" s="3" t="s">
        <v>75</v>
      </c>
      <c r="L90" s="3" t="s">
        <v>104</v>
      </c>
      <c r="M90" s="3" t="s">
        <v>75</v>
      </c>
      <c r="N90" s="3" t="s">
        <v>53</v>
      </c>
      <c r="O90" s="3" t="s">
        <v>54</v>
      </c>
      <c r="P90" s="3" t="s">
        <v>55</v>
      </c>
      <c r="Q90" s="32" t="s">
        <v>56</v>
      </c>
      <c r="R90" s="3" t="s">
        <v>47</v>
      </c>
      <c r="S90" s="3" t="s">
        <v>53</v>
      </c>
      <c r="T90" s="3" t="s">
        <v>53</v>
      </c>
      <c r="U90" s="3" t="s">
        <v>47</v>
      </c>
      <c r="V90" s="4" t="s">
        <v>185</v>
      </c>
      <c r="W90" s="49" t="n">
        <f aca="false">'Deng data'!X10</f>
        <v>1.26926500395342</v>
      </c>
      <c r="X90" s="2"/>
      <c r="Y90" s="2"/>
      <c r="Z90" s="2"/>
      <c r="AA90" s="2"/>
      <c r="AB90" s="2"/>
      <c r="AC90" s="2"/>
      <c r="AD90" s="2"/>
      <c r="AE90" s="2"/>
      <c r="AF90" s="2"/>
      <c r="AG90" s="2"/>
    </row>
    <row r="91" s="30" customFormat="true" ht="47.25" hidden="false" customHeight="false" outlineLevel="0" collapsed="false">
      <c r="A91" s="2"/>
      <c r="B91" s="35" t="s">
        <v>178</v>
      </c>
      <c r="C91" s="3" t="s">
        <v>179</v>
      </c>
      <c r="D91" s="3" t="n">
        <f aca="false">'Deng data'!U11</f>
        <v>2002</v>
      </c>
      <c r="E91" s="48" t="s">
        <v>186</v>
      </c>
      <c r="F91" s="32" t="s">
        <v>51</v>
      </c>
      <c r="G91" s="3" t="s">
        <v>46</v>
      </c>
      <c r="H91" s="3" t="s">
        <v>47</v>
      </c>
      <c r="I91" s="3" t="s">
        <v>53</v>
      </c>
      <c r="J91" s="3" t="s">
        <v>75</v>
      </c>
      <c r="K91" s="3" t="s">
        <v>75</v>
      </c>
      <c r="L91" s="3" t="s">
        <v>104</v>
      </c>
      <c r="M91" s="3" t="s">
        <v>75</v>
      </c>
      <c r="N91" s="3" t="s">
        <v>53</v>
      </c>
      <c r="O91" s="3" t="s">
        <v>54</v>
      </c>
      <c r="P91" s="3" t="s">
        <v>55</v>
      </c>
      <c r="Q91" s="32" t="s">
        <v>56</v>
      </c>
      <c r="R91" s="3" t="s">
        <v>47</v>
      </c>
      <c r="S91" s="3" t="s">
        <v>53</v>
      </c>
      <c r="T91" s="3" t="s">
        <v>53</v>
      </c>
      <c r="U91" s="3" t="s">
        <v>47</v>
      </c>
      <c r="V91" s="4" t="s">
        <v>187</v>
      </c>
      <c r="W91" s="49" t="n">
        <f aca="false">'Deng data'!X11</f>
        <v>1.29762846772892</v>
      </c>
      <c r="X91" s="2"/>
      <c r="Y91" s="2"/>
      <c r="Z91" s="2"/>
      <c r="AA91" s="2"/>
      <c r="AB91" s="2"/>
      <c r="AC91" s="2"/>
      <c r="AD91" s="2"/>
      <c r="AE91" s="2"/>
      <c r="AF91" s="2"/>
      <c r="AG91" s="2"/>
    </row>
    <row r="92" s="30" customFormat="true" ht="47.25" hidden="false" customHeight="false" outlineLevel="0" collapsed="false">
      <c r="A92" s="2"/>
      <c r="B92" s="35" t="s">
        <v>178</v>
      </c>
      <c r="C92" s="3" t="s">
        <v>179</v>
      </c>
      <c r="D92" s="3" t="n">
        <f aca="false">'Deng data'!U12</f>
        <v>2001</v>
      </c>
      <c r="E92" s="48" t="s">
        <v>188</v>
      </c>
      <c r="F92" s="32" t="s">
        <v>51</v>
      </c>
      <c r="G92" s="3" t="s">
        <v>46</v>
      </c>
      <c r="H92" s="3" t="s">
        <v>47</v>
      </c>
      <c r="I92" s="3" t="s">
        <v>53</v>
      </c>
      <c r="J92" s="3" t="s">
        <v>75</v>
      </c>
      <c r="K92" s="3" t="s">
        <v>75</v>
      </c>
      <c r="L92" s="3" t="s">
        <v>104</v>
      </c>
      <c r="M92" s="3" t="s">
        <v>75</v>
      </c>
      <c r="N92" s="3" t="s">
        <v>53</v>
      </c>
      <c r="O92" s="3" t="s">
        <v>54</v>
      </c>
      <c r="P92" s="3" t="s">
        <v>55</v>
      </c>
      <c r="Q92" s="32" t="s">
        <v>56</v>
      </c>
      <c r="R92" s="3" t="s">
        <v>47</v>
      </c>
      <c r="S92" s="3" t="s">
        <v>53</v>
      </c>
      <c r="T92" s="3" t="s">
        <v>53</v>
      </c>
      <c r="U92" s="3" t="s">
        <v>47</v>
      </c>
      <c r="V92" s="4" t="s">
        <v>189</v>
      </c>
      <c r="W92" s="49" t="n">
        <f aca="false">'Deng data'!X12</f>
        <v>1.22671980829018</v>
      </c>
      <c r="X92" s="2"/>
      <c r="Y92" s="2"/>
      <c r="Z92" s="2"/>
      <c r="AA92" s="2"/>
      <c r="AB92" s="2"/>
      <c r="AC92" s="2"/>
      <c r="AD92" s="2"/>
      <c r="AE92" s="2"/>
      <c r="AF92" s="2"/>
      <c r="AG92" s="2"/>
    </row>
    <row r="93" s="30" customFormat="true" ht="47.25" hidden="false" customHeight="false" outlineLevel="0" collapsed="false">
      <c r="A93" s="2"/>
      <c r="B93" s="35" t="s">
        <v>178</v>
      </c>
      <c r="C93" s="3" t="s">
        <v>179</v>
      </c>
      <c r="D93" s="3" t="n">
        <f aca="false">'Deng data'!U13</f>
        <v>2000</v>
      </c>
      <c r="E93" s="48" t="s">
        <v>190</v>
      </c>
      <c r="F93" s="32" t="s">
        <v>51</v>
      </c>
      <c r="G93" s="3" t="s">
        <v>46</v>
      </c>
      <c r="H93" s="3" t="s">
        <v>47</v>
      </c>
      <c r="I93" s="3" t="s">
        <v>53</v>
      </c>
      <c r="J93" s="3" t="s">
        <v>75</v>
      </c>
      <c r="K93" s="3" t="s">
        <v>75</v>
      </c>
      <c r="L93" s="3" t="s">
        <v>104</v>
      </c>
      <c r="M93" s="3" t="s">
        <v>75</v>
      </c>
      <c r="N93" s="3" t="s">
        <v>53</v>
      </c>
      <c r="O93" s="3" t="s">
        <v>54</v>
      </c>
      <c r="P93" s="3" t="s">
        <v>55</v>
      </c>
      <c r="Q93" s="32" t="s">
        <v>56</v>
      </c>
      <c r="R93" s="3" t="s">
        <v>47</v>
      </c>
      <c r="S93" s="3" t="s">
        <v>53</v>
      </c>
      <c r="T93" s="3" t="s">
        <v>53</v>
      </c>
      <c r="U93" s="3" t="s">
        <v>47</v>
      </c>
      <c r="V93" s="4" t="s">
        <v>191</v>
      </c>
      <c r="W93" s="49" t="n">
        <f aca="false">'Deng data'!X13</f>
        <v>0.872176511096484</v>
      </c>
      <c r="X93" s="2"/>
      <c r="Y93" s="2"/>
      <c r="Z93" s="2"/>
      <c r="AA93" s="2"/>
      <c r="AB93" s="2"/>
      <c r="AC93" s="2"/>
      <c r="AD93" s="2"/>
      <c r="AE93" s="2"/>
      <c r="AF93" s="2"/>
      <c r="AG93" s="2"/>
    </row>
    <row r="94" s="30" customFormat="true" ht="47.25" hidden="false" customHeight="false" outlineLevel="0" collapsed="false">
      <c r="A94" s="2"/>
      <c r="B94" s="35" t="s">
        <v>178</v>
      </c>
      <c r="C94" s="3" t="s">
        <v>179</v>
      </c>
      <c r="D94" s="3" t="n">
        <f aca="false">'Deng data'!U14</f>
        <v>1999</v>
      </c>
      <c r="E94" s="48" t="s">
        <v>192</v>
      </c>
      <c r="F94" s="32" t="s">
        <v>51</v>
      </c>
      <c r="G94" s="3" t="s">
        <v>46</v>
      </c>
      <c r="H94" s="3" t="s">
        <v>47</v>
      </c>
      <c r="I94" s="3" t="s">
        <v>53</v>
      </c>
      <c r="J94" s="3" t="s">
        <v>75</v>
      </c>
      <c r="K94" s="3" t="s">
        <v>75</v>
      </c>
      <c r="L94" s="3" t="s">
        <v>104</v>
      </c>
      <c r="M94" s="3" t="s">
        <v>75</v>
      </c>
      <c r="N94" s="3" t="s">
        <v>53</v>
      </c>
      <c r="O94" s="3" t="s">
        <v>54</v>
      </c>
      <c r="P94" s="3" t="s">
        <v>55</v>
      </c>
      <c r="Q94" s="32" t="s">
        <v>56</v>
      </c>
      <c r="R94" s="3" t="s">
        <v>47</v>
      </c>
      <c r="S94" s="3" t="s">
        <v>53</v>
      </c>
      <c r="T94" s="3" t="s">
        <v>53</v>
      </c>
      <c r="U94" s="3" t="s">
        <v>47</v>
      </c>
      <c r="V94" s="4" t="s">
        <v>193</v>
      </c>
      <c r="W94" s="49" t="n">
        <f aca="false">'Deng data'!X14</f>
        <v>1.02817556186171</v>
      </c>
      <c r="X94" s="2"/>
      <c r="Y94" s="2"/>
      <c r="Z94" s="2"/>
      <c r="AA94" s="2"/>
      <c r="AB94" s="2"/>
      <c r="AC94" s="2"/>
      <c r="AD94" s="2"/>
      <c r="AE94" s="2"/>
      <c r="AF94" s="2"/>
      <c r="AG94" s="2"/>
    </row>
    <row r="95" s="30" customFormat="true" ht="47.25" hidden="false" customHeight="false" outlineLevel="0" collapsed="false">
      <c r="A95" s="2"/>
      <c r="B95" s="35" t="s">
        <v>178</v>
      </c>
      <c r="C95" s="3" t="s">
        <v>179</v>
      </c>
      <c r="D95" s="3" t="n">
        <f aca="false">'Deng data'!U15</f>
        <v>1998</v>
      </c>
      <c r="E95" s="48" t="s">
        <v>194</v>
      </c>
      <c r="F95" s="32" t="s">
        <v>51</v>
      </c>
      <c r="G95" s="3" t="s">
        <v>46</v>
      </c>
      <c r="H95" s="3" t="s">
        <v>47</v>
      </c>
      <c r="I95" s="3" t="s">
        <v>53</v>
      </c>
      <c r="J95" s="3" t="s">
        <v>75</v>
      </c>
      <c r="K95" s="3" t="s">
        <v>75</v>
      </c>
      <c r="L95" s="3" t="s">
        <v>104</v>
      </c>
      <c r="M95" s="3" t="s">
        <v>75</v>
      </c>
      <c r="N95" s="3" t="s">
        <v>53</v>
      </c>
      <c r="O95" s="3" t="s">
        <v>54</v>
      </c>
      <c r="P95" s="3" t="s">
        <v>55</v>
      </c>
      <c r="Q95" s="32" t="s">
        <v>56</v>
      </c>
      <c r="R95" s="3" t="s">
        <v>47</v>
      </c>
      <c r="S95" s="3" t="s">
        <v>53</v>
      </c>
      <c r="T95" s="3" t="s">
        <v>53</v>
      </c>
      <c r="U95" s="3" t="s">
        <v>47</v>
      </c>
      <c r="V95" s="4" t="s">
        <v>195</v>
      </c>
      <c r="W95" s="49" t="n">
        <f aca="false">'Deng data'!X15</f>
        <v>1.20544721045856</v>
      </c>
      <c r="X95" s="2"/>
      <c r="Y95" s="2"/>
      <c r="Z95" s="2"/>
      <c r="AA95" s="2"/>
      <c r="AB95" s="2"/>
      <c r="AC95" s="2"/>
      <c r="AD95" s="2"/>
      <c r="AE95" s="2"/>
      <c r="AF95" s="2"/>
      <c r="AG95" s="2"/>
    </row>
    <row r="96" s="30" customFormat="true" ht="47.25" hidden="false" customHeight="false" outlineLevel="0" collapsed="false">
      <c r="A96" s="2"/>
      <c r="B96" s="35" t="s">
        <v>178</v>
      </c>
      <c r="C96" s="3" t="s">
        <v>179</v>
      </c>
      <c r="D96" s="3" t="n">
        <f aca="false">'Deng data'!U16</f>
        <v>1997</v>
      </c>
      <c r="E96" s="48" t="s">
        <v>196</v>
      </c>
      <c r="F96" s="32" t="s">
        <v>51</v>
      </c>
      <c r="G96" s="3" t="s">
        <v>46</v>
      </c>
      <c r="H96" s="3" t="s">
        <v>47</v>
      </c>
      <c r="I96" s="3" t="s">
        <v>53</v>
      </c>
      <c r="J96" s="3" t="s">
        <v>75</v>
      </c>
      <c r="K96" s="3" t="s">
        <v>75</v>
      </c>
      <c r="L96" s="3" t="s">
        <v>104</v>
      </c>
      <c r="M96" s="3" t="s">
        <v>75</v>
      </c>
      <c r="N96" s="3" t="s">
        <v>53</v>
      </c>
      <c r="O96" s="3" t="s">
        <v>54</v>
      </c>
      <c r="P96" s="3" t="s">
        <v>55</v>
      </c>
      <c r="Q96" s="32" t="s">
        <v>56</v>
      </c>
      <c r="R96" s="3" t="s">
        <v>47</v>
      </c>
      <c r="S96" s="3" t="s">
        <v>53</v>
      </c>
      <c r="T96" s="3" t="s">
        <v>53</v>
      </c>
      <c r="U96" s="3" t="s">
        <v>47</v>
      </c>
      <c r="V96" s="4" t="s">
        <v>197</v>
      </c>
      <c r="W96" s="49" t="n">
        <f aca="false">'Deng data'!X16</f>
        <v>1.18417461262693</v>
      </c>
      <c r="X96" s="2"/>
      <c r="Y96" s="2"/>
      <c r="Z96" s="2"/>
      <c r="AA96" s="2"/>
      <c r="AB96" s="2"/>
      <c r="AC96" s="2"/>
      <c r="AD96" s="2"/>
      <c r="AE96" s="2"/>
      <c r="AF96" s="2"/>
      <c r="AG96" s="2"/>
    </row>
    <row r="97" s="30" customFormat="true" ht="47.25" hidden="false" customHeight="false" outlineLevel="0" collapsed="false">
      <c r="A97" s="2"/>
      <c r="B97" s="35" t="s">
        <v>178</v>
      </c>
      <c r="C97" s="3" t="s">
        <v>179</v>
      </c>
      <c r="D97" s="3" t="n">
        <f aca="false">'Deng data'!U17</f>
        <v>1996</v>
      </c>
      <c r="E97" s="48" t="s">
        <v>198</v>
      </c>
      <c r="F97" s="32" t="s">
        <v>51</v>
      </c>
      <c r="G97" s="3" t="s">
        <v>46</v>
      </c>
      <c r="H97" s="3" t="s">
        <v>47</v>
      </c>
      <c r="I97" s="3" t="s">
        <v>53</v>
      </c>
      <c r="J97" s="3" t="s">
        <v>75</v>
      </c>
      <c r="K97" s="3" t="s">
        <v>75</v>
      </c>
      <c r="L97" s="3" t="s">
        <v>104</v>
      </c>
      <c r="M97" s="3" t="s">
        <v>75</v>
      </c>
      <c r="N97" s="3" t="s">
        <v>53</v>
      </c>
      <c r="O97" s="3" t="s">
        <v>54</v>
      </c>
      <c r="P97" s="3" t="s">
        <v>55</v>
      </c>
      <c r="Q97" s="32" t="s">
        <v>56</v>
      </c>
      <c r="R97" s="3" t="s">
        <v>47</v>
      </c>
      <c r="S97" s="3" t="s">
        <v>53</v>
      </c>
      <c r="T97" s="3" t="s">
        <v>53</v>
      </c>
      <c r="U97" s="3" t="s">
        <v>47</v>
      </c>
      <c r="V97" s="4" t="s">
        <v>199</v>
      </c>
      <c r="W97" s="49" t="n">
        <f aca="false">'Deng data'!X17</f>
        <v>1.03526642780558</v>
      </c>
      <c r="X97" s="2"/>
      <c r="Y97" s="2"/>
      <c r="Z97" s="2"/>
      <c r="AA97" s="2"/>
      <c r="AB97" s="2"/>
      <c r="AC97" s="2"/>
      <c r="AD97" s="2"/>
      <c r="AE97" s="2"/>
      <c r="AF97" s="2"/>
      <c r="AG97" s="2"/>
    </row>
    <row r="98" s="30" customFormat="true" ht="47.25" hidden="false" customHeight="false" outlineLevel="0" collapsed="false">
      <c r="A98" s="2"/>
      <c r="B98" s="35" t="s">
        <v>178</v>
      </c>
      <c r="C98" s="3" t="s">
        <v>179</v>
      </c>
      <c r="D98" s="3" t="n">
        <f aca="false">'Deng data'!U18</f>
        <v>1995</v>
      </c>
      <c r="E98" s="48" t="s">
        <v>200</v>
      </c>
      <c r="F98" s="32" t="s">
        <v>51</v>
      </c>
      <c r="G98" s="3" t="s">
        <v>46</v>
      </c>
      <c r="H98" s="3" t="s">
        <v>47</v>
      </c>
      <c r="I98" s="3" t="s">
        <v>53</v>
      </c>
      <c r="J98" s="3" t="s">
        <v>75</v>
      </c>
      <c r="K98" s="3" t="s">
        <v>75</v>
      </c>
      <c r="L98" s="3" t="s">
        <v>104</v>
      </c>
      <c r="M98" s="3" t="s">
        <v>75</v>
      </c>
      <c r="N98" s="3" t="s">
        <v>53</v>
      </c>
      <c r="O98" s="3" t="s">
        <v>54</v>
      </c>
      <c r="P98" s="3" t="s">
        <v>55</v>
      </c>
      <c r="Q98" s="32" t="s">
        <v>56</v>
      </c>
      <c r="R98" s="3" t="s">
        <v>47</v>
      </c>
      <c r="S98" s="3" t="s">
        <v>53</v>
      </c>
      <c r="T98" s="3" t="s">
        <v>53</v>
      </c>
      <c r="U98" s="3" t="s">
        <v>47</v>
      </c>
      <c r="V98" s="4" t="s">
        <v>201</v>
      </c>
      <c r="W98" s="49" t="n">
        <f aca="false">'Deng data'!X18</f>
        <v>1.02817556186171</v>
      </c>
      <c r="X98" s="2"/>
      <c r="Y98" s="2"/>
      <c r="Z98" s="2"/>
      <c r="AA98" s="2"/>
      <c r="AB98" s="2"/>
      <c r="AC98" s="2"/>
      <c r="AD98" s="2"/>
      <c r="AE98" s="2"/>
      <c r="AF98" s="2"/>
      <c r="AG98" s="2"/>
    </row>
    <row r="99" s="30" customFormat="true" ht="47.25" hidden="false" customHeight="false" outlineLevel="0" collapsed="false">
      <c r="A99" s="2"/>
      <c r="B99" s="35" t="s">
        <v>178</v>
      </c>
      <c r="C99" s="3" t="s">
        <v>179</v>
      </c>
      <c r="D99" s="3" t="n">
        <f aca="false">'Deng data'!U9</f>
        <v>2004</v>
      </c>
      <c r="E99" s="48" t="s">
        <v>200</v>
      </c>
      <c r="F99" s="32" t="s">
        <v>51</v>
      </c>
      <c r="G99" s="3" t="s">
        <v>46</v>
      </c>
      <c r="H99" s="3" t="s">
        <v>47</v>
      </c>
      <c r="I99" s="3" t="s">
        <v>53</v>
      </c>
      <c r="J99" s="3" t="s">
        <v>75</v>
      </c>
      <c r="K99" s="3" t="s">
        <v>75</v>
      </c>
      <c r="L99" s="3" t="s">
        <v>104</v>
      </c>
      <c r="M99" s="3" t="s">
        <v>75</v>
      </c>
      <c r="N99" s="3" t="s">
        <v>53</v>
      </c>
      <c r="O99" s="3" t="s">
        <v>202</v>
      </c>
      <c r="P99" s="3" t="s">
        <v>55</v>
      </c>
      <c r="Q99" s="32" t="s">
        <v>56</v>
      </c>
      <c r="R99" s="3" t="s">
        <v>47</v>
      </c>
      <c r="S99" s="3" t="s">
        <v>53</v>
      </c>
      <c r="T99" s="3" t="s">
        <v>53</v>
      </c>
      <c r="U99" s="3" t="s">
        <v>47</v>
      </c>
      <c r="V99" s="4" t="s">
        <v>203</v>
      </c>
      <c r="W99" s="49" t="n">
        <f aca="false">'Deng data'!Y9</f>
        <v>1.14162941696369</v>
      </c>
      <c r="X99" s="2"/>
      <c r="Y99" s="2"/>
      <c r="Z99" s="2"/>
      <c r="AA99" s="2"/>
      <c r="AB99" s="2"/>
      <c r="AC99" s="2"/>
      <c r="AD99" s="2"/>
      <c r="AE99" s="2"/>
      <c r="AF99" s="2"/>
      <c r="AG99" s="2"/>
    </row>
    <row r="100" s="30" customFormat="true" ht="47.25" hidden="false" customHeight="false" outlineLevel="0" collapsed="false">
      <c r="A100" s="2"/>
      <c r="B100" s="35" t="s">
        <v>178</v>
      </c>
      <c r="C100" s="3" t="s">
        <v>179</v>
      </c>
      <c r="D100" s="3" t="n">
        <f aca="false">'Deng data'!U10</f>
        <v>2003</v>
      </c>
      <c r="E100" s="48" t="s">
        <v>204</v>
      </c>
      <c r="F100" s="32" t="s">
        <v>51</v>
      </c>
      <c r="G100" s="3" t="s">
        <v>46</v>
      </c>
      <c r="H100" s="3" t="s">
        <v>47</v>
      </c>
      <c r="I100" s="3" t="s">
        <v>53</v>
      </c>
      <c r="J100" s="3" t="s">
        <v>75</v>
      </c>
      <c r="K100" s="3" t="s">
        <v>75</v>
      </c>
      <c r="L100" s="3" t="s">
        <v>104</v>
      </c>
      <c r="M100" s="3" t="s">
        <v>75</v>
      </c>
      <c r="N100" s="3" t="s">
        <v>53</v>
      </c>
      <c r="O100" s="3" t="s">
        <v>202</v>
      </c>
      <c r="P100" s="3" t="s">
        <v>55</v>
      </c>
      <c r="Q100" s="32" t="s">
        <v>56</v>
      </c>
      <c r="R100" s="3" t="s">
        <v>47</v>
      </c>
      <c r="S100" s="3" t="s">
        <v>53</v>
      </c>
      <c r="T100" s="3" t="s">
        <v>53</v>
      </c>
      <c r="U100" s="3" t="s">
        <v>47</v>
      </c>
      <c r="V100" s="4" t="s">
        <v>205</v>
      </c>
      <c r="W100" s="49" t="n">
        <f aca="false">'Deng data'!Y10</f>
        <v>0.985630366198466</v>
      </c>
      <c r="X100" s="2"/>
      <c r="Y100" s="2"/>
      <c r="Z100" s="2"/>
      <c r="AA100" s="2"/>
      <c r="AB100" s="2"/>
      <c r="AC100" s="2"/>
      <c r="AD100" s="2"/>
      <c r="AE100" s="2"/>
      <c r="AF100" s="2"/>
      <c r="AG100" s="2"/>
    </row>
    <row r="101" s="30" customFormat="true" ht="47.25" hidden="false" customHeight="false" outlineLevel="0" collapsed="false">
      <c r="A101" s="2"/>
      <c r="B101" s="35" t="s">
        <v>178</v>
      </c>
      <c r="C101" s="3" t="s">
        <v>179</v>
      </c>
      <c r="D101" s="3" t="n">
        <f aca="false">'Deng data'!U11</f>
        <v>2002</v>
      </c>
      <c r="E101" s="48" t="s">
        <v>206</v>
      </c>
      <c r="F101" s="32" t="s">
        <v>51</v>
      </c>
      <c r="G101" s="3" t="s">
        <v>46</v>
      </c>
      <c r="H101" s="3" t="s">
        <v>47</v>
      </c>
      <c r="I101" s="3" t="s">
        <v>53</v>
      </c>
      <c r="J101" s="3" t="s">
        <v>75</v>
      </c>
      <c r="K101" s="3" t="s">
        <v>75</v>
      </c>
      <c r="L101" s="3" t="s">
        <v>104</v>
      </c>
      <c r="M101" s="3" t="s">
        <v>75</v>
      </c>
      <c r="N101" s="3" t="s">
        <v>53</v>
      </c>
      <c r="O101" s="3" t="s">
        <v>202</v>
      </c>
      <c r="P101" s="3" t="s">
        <v>55</v>
      </c>
      <c r="Q101" s="32" t="s">
        <v>56</v>
      </c>
      <c r="R101" s="3" t="s">
        <v>47</v>
      </c>
      <c r="S101" s="3" t="s">
        <v>53</v>
      </c>
      <c r="T101" s="3" t="s">
        <v>53</v>
      </c>
      <c r="U101" s="3" t="s">
        <v>47</v>
      </c>
      <c r="V101" s="4" t="s">
        <v>207</v>
      </c>
      <c r="W101" s="49" t="n">
        <f aca="false">'Deng data'!Y11</f>
        <v>1.07781162346883</v>
      </c>
      <c r="X101" s="2"/>
      <c r="Y101" s="2"/>
      <c r="Z101" s="2"/>
      <c r="AA101" s="2"/>
      <c r="AB101" s="2"/>
      <c r="AC101" s="2"/>
      <c r="AD101" s="2"/>
      <c r="AE101" s="2"/>
      <c r="AF101" s="2"/>
      <c r="AG101" s="2"/>
    </row>
    <row r="102" s="30" customFormat="true" ht="47.25" hidden="false" customHeight="false" outlineLevel="0" collapsed="false">
      <c r="A102" s="2"/>
      <c r="B102" s="35" t="s">
        <v>178</v>
      </c>
      <c r="C102" s="3" t="s">
        <v>179</v>
      </c>
      <c r="D102" s="3" t="n">
        <f aca="false">'Deng data'!U12</f>
        <v>2001</v>
      </c>
      <c r="E102" s="48" t="s">
        <v>208</v>
      </c>
      <c r="F102" s="32" t="s">
        <v>51</v>
      </c>
      <c r="G102" s="3" t="s">
        <v>46</v>
      </c>
      <c r="H102" s="3" t="s">
        <v>47</v>
      </c>
      <c r="I102" s="3" t="s">
        <v>53</v>
      </c>
      <c r="J102" s="3" t="s">
        <v>75</v>
      </c>
      <c r="K102" s="3" t="s">
        <v>75</v>
      </c>
      <c r="L102" s="3" t="s">
        <v>104</v>
      </c>
      <c r="M102" s="3" t="s">
        <v>75</v>
      </c>
      <c r="N102" s="3" t="s">
        <v>53</v>
      </c>
      <c r="O102" s="3" t="s">
        <v>202</v>
      </c>
      <c r="P102" s="3" t="s">
        <v>55</v>
      </c>
      <c r="Q102" s="32" t="s">
        <v>56</v>
      </c>
      <c r="R102" s="3" t="s">
        <v>47</v>
      </c>
      <c r="S102" s="3" t="s">
        <v>53</v>
      </c>
      <c r="T102" s="3" t="s">
        <v>53</v>
      </c>
      <c r="U102" s="3" t="s">
        <v>47</v>
      </c>
      <c r="V102" s="4" t="s">
        <v>209</v>
      </c>
      <c r="W102" s="49" t="n">
        <f aca="false">'Deng data'!Y12</f>
        <v>1.31181019961666</v>
      </c>
      <c r="X102" s="2"/>
      <c r="Y102" s="2"/>
      <c r="Z102" s="2"/>
      <c r="AA102" s="2"/>
      <c r="AB102" s="2"/>
      <c r="AC102" s="2"/>
      <c r="AD102" s="2"/>
      <c r="AE102" s="2"/>
      <c r="AF102" s="2"/>
      <c r="AG102" s="2"/>
    </row>
    <row r="103" s="30" customFormat="true" ht="47.25" hidden="false" customHeight="false" outlineLevel="0" collapsed="false">
      <c r="A103" s="2"/>
      <c r="B103" s="35" t="s">
        <v>178</v>
      </c>
      <c r="C103" s="3" t="s">
        <v>179</v>
      </c>
      <c r="D103" s="3" t="n">
        <f aca="false">'Deng data'!U13</f>
        <v>2000</v>
      </c>
      <c r="E103" s="48" t="s">
        <v>210</v>
      </c>
      <c r="F103" s="32" t="s">
        <v>51</v>
      </c>
      <c r="G103" s="3" t="s">
        <v>46</v>
      </c>
      <c r="H103" s="3" t="s">
        <v>47</v>
      </c>
      <c r="I103" s="3" t="s">
        <v>53</v>
      </c>
      <c r="J103" s="3" t="s">
        <v>75</v>
      </c>
      <c r="K103" s="3" t="s">
        <v>75</v>
      </c>
      <c r="L103" s="3" t="s">
        <v>104</v>
      </c>
      <c r="M103" s="3" t="s">
        <v>75</v>
      </c>
      <c r="N103" s="3" t="s">
        <v>53</v>
      </c>
      <c r="O103" s="3" t="s">
        <v>202</v>
      </c>
      <c r="P103" s="3" t="s">
        <v>55</v>
      </c>
      <c r="Q103" s="32" t="s">
        <v>56</v>
      </c>
      <c r="R103" s="3" t="s">
        <v>47</v>
      </c>
      <c r="S103" s="3" t="s">
        <v>53</v>
      </c>
      <c r="T103" s="3" t="s">
        <v>53</v>
      </c>
      <c r="U103" s="3" t="s">
        <v>47</v>
      </c>
      <c r="V103" s="4" t="s">
        <v>211</v>
      </c>
      <c r="W103" s="49" t="n">
        <f aca="false">'Deng data'!Y13</f>
        <v>1.34726452933603</v>
      </c>
      <c r="X103" s="2"/>
      <c r="Y103" s="2"/>
      <c r="Z103" s="2"/>
      <c r="AA103" s="2"/>
      <c r="AB103" s="2"/>
      <c r="AC103" s="2"/>
      <c r="AD103" s="2"/>
      <c r="AE103" s="2"/>
      <c r="AF103" s="2"/>
      <c r="AG103" s="2"/>
    </row>
    <row r="104" s="30" customFormat="true" ht="47.25" hidden="false" customHeight="false" outlineLevel="0" collapsed="false">
      <c r="A104" s="2"/>
      <c r="B104" s="35" t="s">
        <v>178</v>
      </c>
      <c r="C104" s="3" t="s">
        <v>179</v>
      </c>
      <c r="D104" s="3" t="n">
        <f aca="false">'Deng data'!U14</f>
        <v>1999</v>
      </c>
      <c r="E104" s="48" t="s">
        <v>212</v>
      </c>
      <c r="F104" s="32" t="s">
        <v>51</v>
      </c>
      <c r="G104" s="3" t="s">
        <v>46</v>
      </c>
      <c r="H104" s="3" t="s">
        <v>47</v>
      </c>
      <c r="I104" s="3" t="s">
        <v>53</v>
      </c>
      <c r="J104" s="3" t="s">
        <v>75</v>
      </c>
      <c r="K104" s="3" t="s">
        <v>75</v>
      </c>
      <c r="L104" s="3" t="s">
        <v>104</v>
      </c>
      <c r="M104" s="3" t="s">
        <v>75</v>
      </c>
      <c r="N104" s="3" t="s">
        <v>53</v>
      </c>
      <c r="O104" s="3" t="s">
        <v>202</v>
      </c>
      <c r="P104" s="3" t="s">
        <v>55</v>
      </c>
      <c r="Q104" s="32" t="s">
        <v>56</v>
      </c>
      <c r="R104" s="3" t="s">
        <v>47</v>
      </c>
      <c r="S104" s="3" t="s">
        <v>53</v>
      </c>
      <c r="T104" s="3" t="s">
        <v>53</v>
      </c>
      <c r="U104" s="3" t="s">
        <v>47</v>
      </c>
      <c r="V104" s="4" t="s">
        <v>213</v>
      </c>
      <c r="W104" s="49" t="n">
        <f aca="false">'Deng data'!Y14</f>
        <v>0.850903913264863</v>
      </c>
      <c r="X104" s="2"/>
      <c r="Y104" s="2"/>
      <c r="Z104" s="2"/>
      <c r="AA104" s="2"/>
      <c r="AB104" s="2"/>
      <c r="AC104" s="2"/>
      <c r="AD104" s="2"/>
      <c r="AE104" s="2"/>
      <c r="AF104" s="2"/>
      <c r="AG104" s="2"/>
    </row>
    <row r="105" s="30" customFormat="true" ht="47.25" hidden="false" customHeight="false" outlineLevel="0" collapsed="false">
      <c r="A105" s="2"/>
      <c r="B105" s="35" t="s">
        <v>178</v>
      </c>
      <c r="C105" s="3" t="s">
        <v>179</v>
      </c>
      <c r="D105" s="3" t="n">
        <f aca="false">'Deng data'!U15</f>
        <v>1998</v>
      </c>
      <c r="E105" s="48" t="s">
        <v>214</v>
      </c>
      <c r="F105" s="32" t="s">
        <v>51</v>
      </c>
      <c r="G105" s="3" t="s">
        <v>46</v>
      </c>
      <c r="H105" s="3" t="s">
        <v>47</v>
      </c>
      <c r="I105" s="3" t="s">
        <v>53</v>
      </c>
      <c r="J105" s="3" t="s">
        <v>75</v>
      </c>
      <c r="K105" s="3" t="s">
        <v>75</v>
      </c>
      <c r="L105" s="3" t="s">
        <v>104</v>
      </c>
      <c r="M105" s="3" t="s">
        <v>75</v>
      </c>
      <c r="N105" s="3" t="s">
        <v>53</v>
      </c>
      <c r="O105" s="3" t="s">
        <v>202</v>
      </c>
      <c r="P105" s="3" t="s">
        <v>55</v>
      </c>
      <c r="Q105" s="32" t="s">
        <v>56</v>
      </c>
      <c r="R105" s="3" t="s">
        <v>47</v>
      </c>
      <c r="S105" s="3" t="s">
        <v>53</v>
      </c>
      <c r="T105" s="3" t="s">
        <v>53</v>
      </c>
      <c r="U105" s="3" t="s">
        <v>47</v>
      </c>
      <c r="V105" s="4" t="s">
        <v>215</v>
      </c>
      <c r="W105" s="49" t="n">
        <f aca="false">'Deng data'!Y15</f>
        <v>0.893449108928106</v>
      </c>
      <c r="X105" s="2"/>
      <c r="Y105" s="2"/>
      <c r="Z105" s="2"/>
      <c r="AA105" s="2"/>
      <c r="AB105" s="2"/>
      <c r="AC105" s="2"/>
      <c r="AD105" s="2"/>
      <c r="AE105" s="2"/>
      <c r="AF105" s="2"/>
      <c r="AG105" s="2"/>
    </row>
    <row r="106" s="30" customFormat="true" ht="47.25" hidden="false" customHeight="false" outlineLevel="0" collapsed="false">
      <c r="A106" s="2"/>
      <c r="B106" s="35" t="s">
        <v>178</v>
      </c>
      <c r="C106" s="3" t="s">
        <v>179</v>
      </c>
      <c r="D106" s="3" t="n">
        <f aca="false">'Deng data'!U16</f>
        <v>1997</v>
      </c>
      <c r="E106" s="48" t="s">
        <v>216</v>
      </c>
      <c r="F106" s="32" t="s">
        <v>51</v>
      </c>
      <c r="G106" s="3" t="s">
        <v>46</v>
      </c>
      <c r="H106" s="3" t="s">
        <v>47</v>
      </c>
      <c r="I106" s="3" t="s">
        <v>53</v>
      </c>
      <c r="J106" s="3" t="s">
        <v>75</v>
      </c>
      <c r="K106" s="3" t="s">
        <v>75</v>
      </c>
      <c r="L106" s="3" t="s">
        <v>104</v>
      </c>
      <c r="M106" s="3" t="s">
        <v>75</v>
      </c>
      <c r="N106" s="3" t="s">
        <v>53</v>
      </c>
      <c r="O106" s="3" t="s">
        <v>202</v>
      </c>
      <c r="P106" s="3" t="s">
        <v>55</v>
      </c>
      <c r="Q106" s="32" t="s">
        <v>56</v>
      </c>
      <c r="R106" s="3" t="s">
        <v>47</v>
      </c>
      <c r="S106" s="3" t="s">
        <v>53</v>
      </c>
      <c r="T106" s="3" t="s">
        <v>53</v>
      </c>
      <c r="U106" s="3" t="s">
        <v>47</v>
      </c>
      <c r="V106" s="4" t="s">
        <v>217</v>
      </c>
      <c r="W106" s="49" t="n">
        <f aca="false">'Deng data'!Y16</f>
        <v>0.99272123214234</v>
      </c>
      <c r="X106" s="2"/>
      <c r="Y106" s="2"/>
      <c r="Z106" s="2"/>
      <c r="AA106" s="2"/>
      <c r="AB106" s="2"/>
      <c r="AC106" s="2"/>
      <c r="AD106" s="2"/>
      <c r="AE106" s="2"/>
      <c r="AF106" s="2"/>
      <c r="AG106" s="2"/>
    </row>
    <row r="107" s="30" customFormat="true" ht="47.25" hidden="false" customHeight="false" outlineLevel="0" collapsed="false">
      <c r="A107" s="2"/>
      <c r="B107" s="35" t="s">
        <v>178</v>
      </c>
      <c r="C107" s="3" t="s">
        <v>179</v>
      </c>
      <c r="D107" s="3" t="n">
        <f aca="false">'Deng data'!U30</f>
        <v>2008</v>
      </c>
      <c r="E107" s="48" t="s">
        <v>180</v>
      </c>
      <c r="F107" s="32" t="s">
        <v>51</v>
      </c>
      <c r="G107" s="3" t="s">
        <v>46</v>
      </c>
      <c r="H107" s="3" t="s">
        <v>47</v>
      </c>
      <c r="I107" s="3" t="s">
        <v>53</v>
      </c>
      <c r="J107" s="3" t="s">
        <v>75</v>
      </c>
      <c r="K107" s="3" t="s">
        <v>75</v>
      </c>
      <c r="L107" s="3" t="s">
        <v>104</v>
      </c>
      <c r="M107" s="3" t="s">
        <v>75</v>
      </c>
      <c r="N107" s="3" t="s">
        <v>53</v>
      </c>
      <c r="O107" s="3" t="s">
        <v>54</v>
      </c>
      <c r="P107" s="3" t="s">
        <v>55</v>
      </c>
      <c r="Q107" s="32" t="s">
        <v>56</v>
      </c>
      <c r="R107" s="3" t="s">
        <v>47</v>
      </c>
      <c r="S107" s="3" t="s">
        <v>53</v>
      </c>
      <c r="T107" s="3" t="s">
        <v>53</v>
      </c>
      <c r="U107" s="3" t="s">
        <v>47</v>
      </c>
      <c r="V107" s="4" t="s">
        <v>218</v>
      </c>
      <c r="W107" s="49" t="n">
        <f aca="false">'Deng data'!Y30</f>
        <v>0.872176511096484</v>
      </c>
      <c r="X107" s="2"/>
      <c r="Y107" s="2"/>
      <c r="Z107" s="2"/>
      <c r="AA107" s="2"/>
      <c r="AB107" s="2"/>
      <c r="AC107" s="2"/>
      <c r="AD107" s="2"/>
      <c r="AE107" s="2"/>
      <c r="AF107" s="2"/>
      <c r="AG107" s="2"/>
    </row>
    <row r="108" s="30" customFormat="true" ht="47.25" hidden="false" customHeight="false" outlineLevel="0" collapsed="false">
      <c r="A108" s="2"/>
      <c r="B108" s="35" t="s">
        <v>219</v>
      </c>
      <c r="C108" s="27" t="s">
        <v>220</v>
      </c>
      <c r="D108" s="3" t="n">
        <v>1999</v>
      </c>
      <c r="E108" s="20" t="s">
        <v>221</v>
      </c>
      <c r="F108" s="32" t="s">
        <v>51</v>
      </c>
      <c r="G108" s="32" t="s">
        <v>58</v>
      </c>
      <c r="H108" s="32" t="s">
        <v>47</v>
      </c>
      <c r="I108" s="32" t="s">
        <v>75</v>
      </c>
      <c r="J108" s="32" t="s">
        <v>75</v>
      </c>
      <c r="K108" s="32" t="s">
        <v>75</v>
      </c>
      <c r="L108" s="32" t="s">
        <v>75</v>
      </c>
      <c r="M108" s="32" t="s">
        <v>75</v>
      </c>
      <c r="N108" s="32" t="s">
        <v>53</v>
      </c>
      <c r="O108" s="32" t="s">
        <v>48</v>
      </c>
      <c r="P108" s="32" t="s">
        <v>55</v>
      </c>
      <c r="Q108" s="32" t="s">
        <v>56</v>
      </c>
      <c r="R108" s="32" t="s">
        <v>47</v>
      </c>
      <c r="S108" s="32" t="s">
        <v>53</v>
      </c>
      <c r="T108" s="32" t="s">
        <v>53</v>
      </c>
      <c r="U108" s="32" t="s">
        <v>47</v>
      </c>
      <c r="V108" s="36" t="s">
        <v>222</v>
      </c>
      <c r="W108" s="28" t="n">
        <f aca="false">'Williams data'!H7</f>
        <v>1.07781162346883</v>
      </c>
      <c r="X108" s="2"/>
      <c r="Y108" s="2"/>
      <c r="Z108" s="2"/>
      <c r="AA108" s="2"/>
      <c r="AB108" s="2"/>
      <c r="AC108" s="2"/>
      <c r="AD108" s="2"/>
      <c r="AE108" s="2"/>
      <c r="AF108" s="2"/>
      <c r="AG108" s="2"/>
    </row>
    <row r="109" s="30" customFormat="true" ht="47.25" hidden="false" customHeight="false" outlineLevel="0" collapsed="false">
      <c r="A109" s="2"/>
      <c r="B109" s="35" t="s">
        <v>219</v>
      </c>
      <c r="C109" s="27" t="s">
        <v>220</v>
      </c>
      <c r="D109" s="3" t="n">
        <f aca="false">'Williams data'!B8</f>
        <v>1997</v>
      </c>
      <c r="E109" s="20" t="s">
        <v>221</v>
      </c>
      <c r="F109" s="32" t="s">
        <v>51</v>
      </c>
      <c r="G109" s="32" t="s">
        <v>58</v>
      </c>
      <c r="H109" s="32" t="s">
        <v>47</v>
      </c>
      <c r="I109" s="32" t="s">
        <v>75</v>
      </c>
      <c r="J109" s="32" t="s">
        <v>75</v>
      </c>
      <c r="K109" s="32" t="s">
        <v>75</v>
      </c>
      <c r="L109" s="32" t="s">
        <v>75</v>
      </c>
      <c r="M109" s="32" t="s">
        <v>75</v>
      </c>
      <c r="N109" s="32" t="s">
        <v>53</v>
      </c>
      <c r="O109" s="32" t="s">
        <v>48</v>
      </c>
      <c r="P109" s="32" t="s">
        <v>55</v>
      </c>
      <c r="Q109" s="32" t="s">
        <v>56</v>
      </c>
      <c r="R109" s="32" t="s">
        <v>47</v>
      </c>
      <c r="S109" s="32" t="s">
        <v>53</v>
      </c>
      <c r="T109" s="32" t="s">
        <v>53</v>
      </c>
      <c r="U109" s="32" t="s">
        <v>47</v>
      </c>
      <c r="V109" s="36" t="s">
        <v>222</v>
      </c>
      <c r="W109" s="28" t="n">
        <f aca="false">'Williams data'!H8</f>
        <v>1.02108469591784</v>
      </c>
      <c r="X109" s="2"/>
      <c r="Y109" s="2"/>
      <c r="Z109" s="2"/>
      <c r="AA109" s="2"/>
      <c r="AB109" s="2"/>
      <c r="AC109" s="2"/>
      <c r="AD109" s="2"/>
      <c r="AE109" s="2"/>
      <c r="AF109" s="2"/>
      <c r="AG109" s="2"/>
    </row>
    <row r="110" s="30" customFormat="true" ht="47.25" hidden="false" customHeight="false" outlineLevel="0" collapsed="false">
      <c r="A110" s="2"/>
      <c r="B110" s="35" t="s">
        <v>219</v>
      </c>
      <c r="C110" s="27" t="s">
        <v>220</v>
      </c>
      <c r="D110" s="3" t="n">
        <f aca="false">'Williams data'!B9</f>
        <v>1993</v>
      </c>
      <c r="E110" s="20" t="s">
        <v>221</v>
      </c>
      <c r="F110" s="32" t="s">
        <v>51</v>
      </c>
      <c r="G110" s="32" t="s">
        <v>58</v>
      </c>
      <c r="H110" s="32" t="s">
        <v>47</v>
      </c>
      <c r="I110" s="32" t="s">
        <v>75</v>
      </c>
      <c r="J110" s="32" t="s">
        <v>75</v>
      </c>
      <c r="K110" s="32" t="s">
        <v>75</v>
      </c>
      <c r="L110" s="32" t="s">
        <v>75</v>
      </c>
      <c r="M110" s="32" t="s">
        <v>75</v>
      </c>
      <c r="N110" s="32" t="s">
        <v>53</v>
      </c>
      <c r="O110" s="32" t="s">
        <v>48</v>
      </c>
      <c r="P110" s="32" t="s">
        <v>55</v>
      </c>
      <c r="Q110" s="32" t="s">
        <v>56</v>
      </c>
      <c r="R110" s="32" t="s">
        <v>47</v>
      </c>
      <c r="S110" s="32" t="s">
        <v>53</v>
      </c>
      <c r="T110" s="32" t="s">
        <v>53</v>
      </c>
      <c r="U110" s="32" t="s">
        <v>47</v>
      </c>
      <c r="V110" s="36" t="s">
        <v>222</v>
      </c>
      <c r="W110" s="28" t="n">
        <f aca="false">'Williams data'!H9</f>
        <v>1.13453855101982</v>
      </c>
      <c r="X110" s="2"/>
      <c r="Y110" s="2"/>
      <c r="Z110" s="2"/>
      <c r="AA110" s="2"/>
      <c r="AB110" s="2"/>
      <c r="AC110" s="2"/>
      <c r="AD110" s="2"/>
      <c r="AE110" s="2"/>
      <c r="AF110" s="2"/>
      <c r="AG110" s="2"/>
    </row>
    <row r="111" s="30" customFormat="true" ht="63" hidden="false" customHeight="false" outlineLevel="0" collapsed="false">
      <c r="A111" s="2"/>
      <c r="B111" s="35" t="s">
        <v>223</v>
      </c>
      <c r="C111" s="3" t="s">
        <v>224</v>
      </c>
      <c r="D111" s="3" t="n">
        <f aca="false">'Hu data'!B7</f>
        <v>1999</v>
      </c>
      <c r="E111" s="48" t="s">
        <v>225</v>
      </c>
      <c r="F111" s="32" t="s">
        <v>51</v>
      </c>
      <c r="G111" s="3" t="s">
        <v>75</v>
      </c>
      <c r="H111" s="3" t="s">
        <v>47</v>
      </c>
      <c r="I111" s="3" t="s">
        <v>53</v>
      </c>
      <c r="J111" s="3" t="s">
        <v>75</v>
      </c>
      <c r="K111" s="3" t="s">
        <v>226</v>
      </c>
      <c r="L111" s="3" t="s">
        <v>75</v>
      </c>
      <c r="M111" s="3" t="s">
        <v>75</v>
      </c>
      <c r="N111" s="3" t="s">
        <v>53</v>
      </c>
      <c r="O111" s="3" t="s">
        <v>202</v>
      </c>
      <c r="P111" s="3" t="s">
        <v>55</v>
      </c>
      <c r="Q111" s="32" t="s">
        <v>56</v>
      </c>
      <c r="R111" s="3" t="s">
        <v>47</v>
      </c>
      <c r="S111" s="3" t="s">
        <v>53</v>
      </c>
      <c r="T111" s="3" t="s">
        <v>53</v>
      </c>
      <c r="U111" s="3" t="s">
        <v>47</v>
      </c>
      <c r="V111" s="4" t="s">
        <v>227</v>
      </c>
      <c r="W111" s="49" t="n">
        <f aca="false">'Hu data'!I7</f>
        <v>0.613359904145088</v>
      </c>
      <c r="X111" s="2"/>
      <c r="Y111" s="2"/>
      <c r="Z111" s="2"/>
      <c r="AA111" s="2"/>
      <c r="AB111" s="2"/>
      <c r="AC111" s="2"/>
      <c r="AD111" s="2"/>
      <c r="AE111" s="2"/>
      <c r="AF111" s="2"/>
      <c r="AG111" s="2"/>
    </row>
    <row r="112" s="30" customFormat="true" ht="63" hidden="false" customHeight="false" outlineLevel="0" collapsed="false">
      <c r="A112" s="2"/>
      <c r="B112" s="35" t="s">
        <v>223</v>
      </c>
      <c r="C112" s="3" t="s">
        <v>224</v>
      </c>
      <c r="D112" s="3" t="n">
        <f aca="false">'Hu data'!B8</f>
        <v>1999</v>
      </c>
      <c r="E112" s="48" t="s">
        <v>228</v>
      </c>
      <c r="F112" s="32" t="s">
        <v>51</v>
      </c>
      <c r="G112" s="3" t="s">
        <v>75</v>
      </c>
      <c r="H112" s="3" t="s">
        <v>47</v>
      </c>
      <c r="I112" s="3" t="s">
        <v>53</v>
      </c>
      <c r="J112" s="3" t="s">
        <v>75</v>
      </c>
      <c r="K112" s="3" t="s">
        <v>226</v>
      </c>
      <c r="L112" s="3" t="s">
        <v>75</v>
      </c>
      <c r="M112" s="3" t="s">
        <v>75</v>
      </c>
      <c r="N112" s="3" t="s">
        <v>53</v>
      </c>
      <c r="O112" s="3" t="s">
        <v>202</v>
      </c>
      <c r="P112" s="3" t="s">
        <v>55</v>
      </c>
      <c r="Q112" s="32" t="s">
        <v>56</v>
      </c>
      <c r="R112" s="3" t="s">
        <v>47</v>
      </c>
      <c r="S112" s="3" t="s">
        <v>53</v>
      </c>
      <c r="T112" s="3" t="s">
        <v>53</v>
      </c>
      <c r="U112" s="3" t="s">
        <v>47</v>
      </c>
      <c r="V112" s="4" t="s">
        <v>227</v>
      </c>
      <c r="W112" s="49" t="n">
        <f aca="false">'Hu data'!I8</f>
        <v>2.26198623609576</v>
      </c>
      <c r="X112" s="2"/>
      <c r="Y112" s="2"/>
      <c r="Z112" s="2"/>
      <c r="AA112" s="2"/>
      <c r="AB112" s="2"/>
      <c r="AC112" s="2"/>
      <c r="AD112" s="2"/>
      <c r="AE112" s="2"/>
      <c r="AF112" s="2"/>
      <c r="AG112" s="2"/>
    </row>
    <row r="113" s="30" customFormat="true" ht="63" hidden="false" customHeight="false" outlineLevel="0" collapsed="false">
      <c r="A113" s="2"/>
      <c r="B113" s="35" t="s">
        <v>223</v>
      </c>
      <c r="C113" s="3" t="s">
        <v>224</v>
      </c>
      <c r="D113" s="3" t="n">
        <f aca="false">'Hu data'!B9</f>
        <v>1999</v>
      </c>
      <c r="E113" s="48" t="s">
        <v>229</v>
      </c>
      <c r="F113" s="32" t="s">
        <v>51</v>
      </c>
      <c r="G113" s="3" t="s">
        <v>75</v>
      </c>
      <c r="H113" s="3" t="s">
        <v>47</v>
      </c>
      <c r="I113" s="3" t="s">
        <v>53</v>
      </c>
      <c r="J113" s="3" t="s">
        <v>75</v>
      </c>
      <c r="K113" s="3" t="s">
        <v>226</v>
      </c>
      <c r="L113" s="3" t="s">
        <v>75</v>
      </c>
      <c r="M113" s="3" t="s">
        <v>75</v>
      </c>
      <c r="N113" s="3" t="s">
        <v>53</v>
      </c>
      <c r="O113" s="3" t="s">
        <v>202</v>
      </c>
      <c r="P113" s="3" t="s">
        <v>55</v>
      </c>
      <c r="Q113" s="32" t="s">
        <v>56</v>
      </c>
      <c r="R113" s="3" t="s">
        <v>47</v>
      </c>
      <c r="S113" s="3" t="s">
        <v>53</v>
      </c>
      <c r="T113" s="3" t="s">
        <v>53</v>
      </c>
      <c r="U113" s="3" t="s">
        <v>47</v>
      </c>
      <c r="V113" s="4" t="s">
        <v>227</v>
      </c>
      <c r="W113" s="49" t="n">
        <f aca="false">'Hu data'!I9</f>
        <v>1.01541200316274</v>
      </c>
      <c r="X113" s="2"/>
      <c r="Y113" s="2"/>
      <c r="Z113" s="2"/>
      <c r="AA113" s="2"/>
      <c r="AB113" s="2"/>
      <c r="AC113" s="2"/>
      <c r="AD113" s="2"/>
      <c r="AE113" s="2"/>
      <c r="AF113" s="2"/>
      <c r="AG113" s="2"/>
    </row>
    <row r="114" s="30" customFormat="true" ht="63" hidden="false" customHeight="false" outlineLevel="0" collapsed="false">
      <c r="A114" s="2"/>
      <c r="B114" s="35" t="s">
        <v>223</v>
      </c>
      <c r="C114" s="3" t="s">
        <v>224</v>
      </c>
      <c r="D114" s="3" t="n">
        <f aca="false">'Hu data'!B10</f>
        <v>1997</v>
      </c>
      <c r="E114" s="48" t="s">
        <v>230</v>
      </c>
      <c r="F114" s="32" t="s">
        <v>51</v>
      </c>
      <c r="G114" s="3" t="s">
        <v>75</v>
      </c>
      <c r="H114" s="3" t="s">
        <v>47</v>
      </c>
      <c r="I114" s="3" t="s">
        <v>53</v>
      </c>
      <c r="J114" s="3" t="s">
        <v>75</v>
      </c>
      <c r="K114" s="3" t="s">
        <v>226</v>
      </c>
      <c r="L114" s="3" t="s">
        <v>75</v>
      </c>
      <c r="M114" s="3" t="s">
        <v>75</v>
      </c>
      <c r="N114" s="3" t="s">
        <v>53</v>
      </c>
      <c r="O114" s="3" t="s">
        <v>202</v>
      </c>
      <c r="P114" s="3" t="s">
        <v>55</v>
      </c>
      <c r="Q114" s="32" t="s">
        <v>56</v>
      </c>
      <c r="R114" s="3" t="s">
        <v>47</v>
      </c>
      <c r="S114" s="3" t="s">
        <v>53</v>
      </c>
      <c r="T114" s="3" t="s">
        <v>53</v>
      </c>
      <c r="U114" s="3" t="s">
        <v>47</v>
      </c>
      <c r="V114" s="4" t="s">
        <v>227</v>
      </c>
      <c r="W114" s="49" t="n">
        <f aca="false">'Hu data'!I10</f>
        <v>1.25508327206567</v>
      </c>
      <c r="X114" s="2"/>
      <c r="Y114" s="2"/>
      <c r="Z114" s="2"/>
      <c r="AA114" s="2"/>
      <c r="AB114" s="2"/>
      <c r="AC114" s="2"/>
      <c r="AD114" s="2"/>
      <c r="AE114" s="2"/>
      <c r="AF114" s="2"/>
      <c r="AG114" s="2"/>
    </row>
    <row r="115" s="30" customFormat="true" ht="63" hidden="false" customHeight="false" outlineLevel="0" collapsed="false">
      <c r="A115" s="2"/>
      <c r="B115" s="35" t="s">
        <v>223</v>
      </c>
      <c r="C115" s="3" t="s">
        <v>224</v>
      </c>
      <c r="D115" s="3" t="n">
        <f aca="false">'Hu data'!B11</f>
        <v>1995</v>
      </c>
      <c r="E115" s="48" t="s">
        <v>231</v>
      </c>
      <c r="F115" s="32" t="s">
        <v>51</v>
      </c>
      <c r="G115" s="3" t="s">
        <v>75</v>
      </c>
      <c r="H115" s="3" t="s">
        <v>47</v>
      </c>
      <c r="I115" s="3" t="s">
        <v>53</v>
      </c>
      <c r="J115" s="3" t="s">
        <v>75</v>
      </c>
      <c r="K115" s="3" t="s">
        <v>226</v>
      </c>
      <c r="L115" s="3" t="s">
        <v>75</v>
      </c>
      <c r="M115" s="3" t="s">
        <v>75</v>
      </c>
      <c r="N115" s="3" t="s">
        <v>53</v>
      </c>
      <c r="O115" s="3" t="s">
        <v>202</v>
      </c>
      <c r="P115" s="3" t="s">
        <v>55</v>
      </c>
      <c r="Q115" s="32" t="s">
        <v>56</v>
      </c>
      <c r="R115" s="3" t="s">
        <v>47</v>
      </c>
      <c r="S115" s="3" t="s">
        <v>53</v>
      </c>
      <c r="T115" s="3" t="s">
        <v>53</v>
      </c>
      <c r="U115" s="3" t="s">
        <v>47</v>
      </c>
      <c r="V115" s="4" t="s">
        <v>227</v>
      </c>
      <c r="W115" s="49" t="n">
        <f aca="false">'Hu data'!I11</f>
        <v>0.999812098086214</v>
      </c>
      <c r="X115" s="2"/>
      <c r="Y115" s="2"/>
      <c r="Z115" s="2"/>
      <c r="AA115" s="2"/>
      <c r="AB115" s="2"/>
      <c r="AC115" s="2"/>
      <c r="AD115" s="2"/>
      <c r="AE115" s="2"/>
      <c r="AF115" s="2"/>
      <c r="AG115" s="2"/>
    </row>
    <row r="116" s="30" customFormat="true" ht="63" hidden="false" customHeight="false" outlineLevel="0" collapsed="false">
      <c r="A116" s="2"/>
      <c r="B116" s="35" t="s">
        <v>223</v>
      </c>
      <c r="C116" s="3" t="s">
        <v>224</v>
      </c>
      <c r="D116" s="3" t="n">
        <f aca="false">'Hu data'!B12</f>
        <v>1988</v>
      </c>
      <c r="E116" s="48" t="s">
        <v>232</v>
      </c>
      <c r="F116" s="32" t="s">
        <v>51</v>
      </c>
      <c r="G116" s="3" t="s">
        <v>75</v>
      </c>
      <c r="H116" s="3" t="s">
        <v>47</v>
      </c>
      <c r="I116" s="3" t="s">
        <v>53</v>
      </c>
      <c r="J116" s="3" t="s">
        <v>75</v>
      </c>
      <c r="K116" s="3" t="s">
        <v>226</v>
      </c>
      <c r="L116" s="3" t="s">
        <v>75</v>
      </c>
      <c r="M116" s="3" t="s">
        <v>75</v>
      </c>
      <c r="N116" s="3" t="s">
        <v>53</v>
      </c>
      <c r="O116" s="3" t="s">
        <v>202</v>
      </c>
      <c r="P116" s="3" t="s">
        <v>55</v>
      </c>
      <c r="Q116" s="32" t="s">
        <v>56</v>
      </c>
      <c r="R116" s="3" t="s">
        <v>47</v>
      </c>
      <c r="S116" s="3" t="s">
        <v>53</v>
      </c>
      <c r="T116" s="3" t="s">
        <v>53</v>
      </c>
      <c r="U116" s="3" t="s">
        <v>47</v>
      </c>
      <c r="V116" s="4" t="s">
        <v>227</v>
      </c>
      <c r="W116" s="49" t="n">
        <f aca="false">'Hu data'!I12</f>
        <v>1.31890106556054</v>
      </c>
      <c r="X116" s="2"/>
      <c r="Y116" s="2"/>
      <c r="Z116" s="2"/>
      <c r="AA116" s="2"/>
      <c r="AB116" s="2"/>
      <c r="AC116" s="2"/>
      <c r="AD116" s="2"/>
      <c r="AE116" s="2"/>
      <c r="AF116" s="2"/>
      <c r="AG116" s="2"/>
    </row>
    <row r="117" s="30" customFormat="true" ht="63" hidden="false" customHeight="false" outlineLevel="0" collapsed="false">
      <c r="A117" s="2"/>
      <c r="B117" s="35" t="s">
        <v>223</v>
      </c>
      <c r="C117" s="3" t="s">
        <v>224</v>
      </c>
      <c r="D117" s="3" t="n">
        <f aca="false">'Hu data'!B13</f>
        <v>1984</v>
      </c>
      <c r="E117" s="48" t="s">
        <v>233</v>
      </c>
      <c r="F117" s="32" t="s">
        <v>51</v>
      </c>
      <c r="G117" s="3" t="s">
        <v>75</v>
      </c>
      <c r="H117" s="3" t="s">
        <v>47</v>
      </c>
      <c r="I117" s="3" t="s">
        <v>53</v>
      </c>
      <c r="J117" s="3" t="s">
        <v>75</v>
      </c>
      <c r="K117" s="3" t="s">
        <v>226</v>
      </c>
      <c r="L117" s="3" t="s">
        <v>75</v>
      </c>
      <c r="M117" s="3" t="s">
        <v>75</v>
      </c>
      <c r="N117" s="3" t="s">
        <v>53</v>
      </c>
      <c r="O117" s="3" t="s">
        <v>202</v>
      </c>
      <c r="P117" s="3" t="s">
        <v>55</v>
      </c>
      <c r="Q117" s="32" t="s">
        <v>56</v>
      </c>
      <c r="R117" s="3" t="s">
        <v>47</v>
      </c>
      <c r="S117" s="3" t="s">
        <v>53</v>
      </c>
      <c r="T117" s="3" t="s">
        <v>53</v>
      </c>
      <c r="U117" s="3" t="s">
        <v>47</v>
      </c>
      <c r="V117" s="4" t="s">
        <v>227</v>
      </c>
      <c r="W117" s="49" t="n">
        <f aca="false">'Hu data'!I13</f>
        <v>2.31162229770288</v>
      </c>
      <c r="X117" s="2"/>
      <c r="Y117" s="2"/>
      <c r="Z117" s="2"/>
      <c r="AA117" s="2"/>
      <c r="AB117" s="2"/>
      <c r="AC117" s="2"/>
      <c r="AD117" s="2"/>
      <c r="AE117" s="2"/>
      <c r="AF117" s="2"/>
      <c r="AG117" s="2"/>
    </row>
    <row r="118" s="30" customFormat="true" ht="63" hidden="false" customHeight="false" outlineLevel="0" collapsed="false">
      <c r="A118" s="2"/>
      <c r="B118" s="35" t="s">
        <v>223</v>
      </c>
      <c r="C118" s="3" t="s">
        <v>224</v>
      </c>
      <c r="D118" s="3" t="n">
        <f aca="false">'Hu data'!B14</f>
        <v>1983</v>
      </c>
      <c r="E118" s="48" t="s">
        <v>234</v>
      </c>
      <c r="F118" s="32" t="s">
        <v>51</v>
      </c>
      <c r="G118" s="3" t="s">
        <v>75</v>
      </c>
      <c r="H118" s="3" t="s">
        <v>47</v>
      </c>
      <c r="I118" s="3" t="s">
        <v>53</v>
      </c>
      <c r="J118" s="3" t="s">
        <v>75</v>
      </c>
      <c r="K118" s="3" t="s">
        <v>226</v>
      </c>
      <c r="L118" s="3" t="s">
        <v>75</v>
      </c>
      <c r="M118" s="3" t="s">
        <v>75</v>
      </c>
      <c r="N118" s="3" t="s">
        <v>53</v>
      </c>
      <c r="O118" s="3" t="s">
        <v>202</v>
      </c>
      <c r="P118" s="3" t="s">
        <v>55</v>
      </c>
      <c r="Q118" s="32" t="s">
        <v>56</v>
      </c>
      <c r="R118" s="3" t="s">
        <v>47</v>
      </c>
      <c r="S118" s="3" t="s">
        <v>53</v>
      </c>
      <c r="T118" s="3" t="s">
        <v>53</v>
      </c>
      <c r="U118" s="3" t="s">
        <v>47</v>
      </c>
      <c r="V118" s="4" t="s">
        <v>227</v>
      </c>
      <c r="W118" s="49" t="n">
        <f aca="false">'Hu data'!I14</f>
        <v>2.19816844260089</v>
      </c>
      <c r="X118" s="2"/>
      <c r="Y118" s="2"/>
      <c r="Z118" s="2"/>
      <c r="AA118" s="2"/>
      <c r="AB118" s="2"/>
      <c r="AC118" s="2"/>
      <c r="AD118" s="2"/>
      <c r="AE118" s="2"/>
      <c r="AF118" s="2"/>
      <c r="AG118" s="2"/>
    </row>
    <row r="119" s="30" customFormat="true" ht="47.25" hidden="false" customHeight="false" outlineLevel="0" collapsed="false">
      <c r="A119" s="2"/>
      <c r="B119" s="35" t="s">
        <v>235</v>
      </c>
      <c r="C119" s="3" t="s">
        <v>236</v>
      </c>
      <c r="D119" s="3" t="n">
        <f aca="false">'Branham data'!B6</f>
        <v>2007</v>
      </c>
      <c r="E119" s="48" t="s">
        <v>237</v>
      </c>
      <c r="F119" s="32" t="s">
        <v>51</v>
      </c>
      <c r="G119" s="3" t="s">
        <v>46</v>
      </c>
      <c r="H119" s="3" t="s">
        <v>47</v>
      </c>
      <c r="I119" s="3" t="s">
        <v>53</v>
      </c>
      <c r="J119" s="3" t="s">
        <v>75</v>
      </c>
      <c r="K119" s="3" t="s">
        <v>75</v>
      </c>
      <c r="L119" s="3" t="s">
        <v>75</v>
      </c>
      <c r="M119" s="3" t="s">
        <v>47</v>
      </c>
      <c r="N119" s="3" t="s">
        <v>75</v>
      </c>
      <c r="O119" s="3" t="s">
        <v>238</v>
      </c>
      <c r="P119" s="3" t="s">
        <v>174</v>
      </c>
      <c r="Q119" s="32" t="s">
        <v>61</v>
      </c>
      <c r="R119" s="3" t="s">
        <v>47</v>
      </c>
      <c r="S119" s="3" t="s">
        <v>114</v>
      </c>
      <c r="T119" s="3" t="s">
        <v>47</v>
      </c>
      <c r="U119" s="3" t="s">
        <v>47</v>
      </c>
      <c r="V119" s="4" t="s">
        <v>239</v>
      </c>
      <c r="W119" s="49" t="n">
        <f aca="false">'Branham data'!G6</f>
        <v>1.0849024894127</v>
      </c>
      <c r="X119" s="2"/>
      <c r="Y119" s="2"/>
      <c r="Z119" s="2"/>
      <c r="AA119" s="2"/>
      <c r="AB119" s="2"/>
      <c r="AC119" s="2"/>
      <c r="AD119" s="2"/>
      <c r="AE119" s="2"/>
      <c r="AF119" s="2"/>
      <c r="AG119" s="2"/>
    </row>
    <row r="120" s="30" customFormat="true" ht="47.25" hidden="false" customHeight="false" outlineLevel="0" collapsed="false">
      <c r="A120" s="2"/>
      <c r="B120" s="35" t="s">
        <v>235</v>
      </c>
      <c r="C120" s="3" t="s">
        <v>236</v>
      </c>
      <c r="D120" s="3" t="n">
        <f aca="false">'Branham data'!B7</f>
        <v>2007</v>
      </c>
      <c r="E120" s="48" t="s">
        <v>240</v>
      </c>
      <c r="F120" s="32" t="s">
        <v>51</v>
      </c>
      <c r="G120" s="3" t="s">
        <v>46</v>
      </c>
      <c r="H120" s="3" t="s">
        <v>47</v>
      </c>
      <c r="I120" s="3" t="s">
        <v>53</v>
      </c>
      <c r="J120" s="3" t="s">
        <v>75</v>
      </c>
      <c r="K120" s="3" t="s">
        <v>75</v>
      </c>
      <c r="L120" s="3" t="s">
        <v>75</v>
      </c>
      <c r="M120" s="3" t="s">
        <v>47</v>
      </c>
      <c r="N120" s="3" t="s">
        <v>75</v>
      </c>
      <c r="O120" s="3" t="s">
        <v>238</v>
      </c>
      <c r="P120" s="3" t="s">
        <v>174</v>
      </c>
      <c r="Q120" s="32" t="s">
        <v>61</v>
      </c>
      <c r="R120" s="3" t="s">
        <v>47</v>
      </c>
      <c r="S120" s="3" t="s">
        <v>114</v>
      </c>
      <c r="T120" s="3" t="s">
        <v>47</v>
      </c>
      <c r="U120" s="3" t="s">
        <v>47</v>
      </c>
      <c r="V120" s="4" t="s">
        <v>239</v>
      </c>
      <c r="W120" s="49" t="n">
        <f aca="false">'Branham data'!G7</f>
        <v>1.30471933367279</v>
      </c>
      <c r="X120" s="2"/>
      <c r="Y120" s="2"/>
      <c r="Z120" s="2"/>
      <c r="AA120" s="2"/>
      <c r="AB120" s="2"/>
      <c r="AC120" s="2"/>
      <c r="AD120" s="2"/>
      <c r="AE120" s="2"/>
      <c r="AF120" s="2"/>
      <c r="AG120" s="2"/>
    </row>
    <row r="121" s="30" customFormat="true" ht="47.25" hidden="false" customHeight="false" outlineLevel="0" collapsed="false">
      <c r="A121" s="2"/>
      <c r="B121" s="35" t="s">
        <v>235</v>
      </c>
      <c r="C121" s="3" t="s">
        <v>236</v>
      </c>
      <c r="D121" s="3" t="n">
        <f aca="false">'Branham data'!B8</f>
        <v>2007</v>
      </c>
      <c r="E121" s="48" t="s">
        <v>241</v>
      </c>
      <c r="F121" s="32" t="s">
        <v>51</v>
      </c>
      <c r="G121" s="3" t="s">
        <v>46</v>
      </c>
      <c r="H121" s="3" t="s">
        <v>47</v>
      </c>
      <c r="I121" s="3" t="s">
        <v>53</v>
      </c>
      <c r="J121" s="3" t="s">
        <v>75</v>
      </c>
      <c r="K121" s="3" t="s">
        <v>75</v>
      </c>
      <c r="L121" s="3" t="s">
        <v>75</v>
      </c>
      <c r="M121" s="3" t="s">
        <v>47</v>
      </c>
      <c r="N121" s="3" t="s">
        <v>75</v>
      </c>
      <c r="O121" s="3" t="s">
        <v>238</v>
      </c>
      <c r="P121" s="3" t="s">
        <v>174</v>
      </c>
      <c r="Q121" s="32" t="s">
        <v>61</v>
      </c>
      <c r="R121" s="3" t="s">
        <v>47</v>
      </c>
      <c r="S121" s="3" t="s">
        <v>114</v>
      </c>
      <c r="T121" s="3" t="s">
        <v>47</v>
      </c>
      <c r="U121" s="3" t="s">
        <v>47</v>
      </c>
      <c r="V121" s="4" t="s">
        <v>239</v>
      </c>
      <c r="W121" s="49" t="n">
        <f aca="false">'Branham data'!G8</f>
        <v>1.43235492066252</v>
      </c>
      <c r="X121" s="2"/>
      <c r="Y121" s="2"/>
      <c r="Z121" s="2"/>
      <c r="AA121" s="2"/>
      <c r="AB121" s="2"/>
      <c r="AC121" s="2"/>
      <c r="AD121" s="2"/>
      <c r="AE121" s="2"/>
      <c r="AF121" s="2"/>
      <c r="AG121" s="2"/>
    </row>
    <row r="122" s="30" customFormat="true" ht="47.25" hidden="false" customHeight="false" outlineLevel="0" collapsed="false">
      <c r="A122" s="2"/>
      <c r="B122" s="35" t="s">
        <v>235</v>
      </c>
      <c r="C122" s="3" t="s">
        <v>236</v>
      </c>
      <c r="D122" s="3" t="n">
        <f aca="false">'Branham data'!B9</f>
        <v>2007</v>
      </c>
      <c r="E122" s="48" t="s">
        <v>242</v>
      </c>
      <c r="F122" s="32" t="s">
        <v>51</v>
      </c>
      <c r="G122" s="3" t="s">
        <v>46</v>
      </c>
      <c r="H122" s="3" t="s">
        <v>47</v>
      </c>
      <c r="I122" s="3" t="s">
        <v>53</v>
      </c>
      <c r="J122" s="3" t="s">
        <v>75</v>
      </c>
      <c r="K122" s="3" t="s">
        <v>75</v>
      </c>
      <c r="L122" s="3" t="s">
        <v>75</v>
      </c>
      <c r="M122" s="3" t="s">
        <v>47</v>
      </c>
      <c r="N122" s="3" t="s">
        <v>75</v>
      </c>
      <c r="O122" s="3" t="s">
        <v>238</v>
      </c>
      <c r="P122" s="3" t="s">
        <v>174</v>
      </c>
      <c r="Q122" s="32" t="s">
        <v>61</v>
      </c>
      <c r="R122" s="3" t="s">
        <v>47</v>
      </c>
      <c r="S122" s="3" t="s">
        <v>114</v>
      </c>
      <c r="T122" s="3" t="s">
        <v>47</v>
      </c>
      <c r="U122" s="3" t="s">
        <v>47</v>
      </c>
      <c r="V122" s="4" t="s">
        <v>239</v>
      </c>
      <c r="W122" s="49" t="n">
        <f aca="false">'Branham data'!G9</f>
        <v>1.50326358010126</v>
      </c>
      <c r="X122" s="2"/>
      <c r="Y122" s="2"/>
      <c r="Z122" s="2"/>
      <c r="AA122" s="2"/>
      <c r="AB122" s="2"/>
      <c r="AC122" s="2"/>
      <c r="AD122" s="2"/>
      <c r="AE122" s="2"/>
      <c r="AF122" s="2"/>
      <c r="AG122" s="2"/>
    </row>
    <row r="123" s="30" customFormat="true" ht="47.25" hidden="false" customHeight="false" outlineLevel="0" collapsed="false">
      <c r="A123" s="2"/>
      <c r="B123" s="35" t="s">
        <v>235</v>
      </c>
      <c r="C123" s="3" t="s">
        <v>236</v>
      </c>
      <c r="D123" s="3" t="n">
        <f aca="false">'Branham data'!B10</f>
        <v>2006</v>
      </c>
      <c r="E123" s="48" t="s">
        <v>243</v>
      </c>
      <c r="F123" s="32" t="s">
        <v>51</v>
      </c>
      <c r="G123" s="3" t="s">
        <v>46</v>
      </c>
      <c r="H123" s="3" t="s">
        <v>47</v>
      </c>
      <c r="I123" s="3" t="s">
        <v>53</v>
      </c>
      <c r="J123" s="3" t="s">
        <v>75</v>
      </c>
      <c r="K123" s="3" t="s">
        <v>75</v>
      </c>
      <c r="L123" s="3" t="s">
        <v>75</v>
      </c>
      <c r="M123" s="3" t="s">
        <v>47</v>
      </c>
      <c r="N123" s="3" t="s">
        <v>75</v>
      </c>
      <c r="O123" s="3" t="s">
        <v>238</v>
      </c>
      <c r="P123" s="3" t="s">
        <v>174</v>
      </c>
      <c r="Q123" s="32" t="s">
        <v>61</v>
      </c>
      <c r="R123" s="3" t="s">
        <v>47</v>
      </c>
      <c r="S123" s="3" t="s">
        <v>114</v>
      </c>
      <c r="T123" s="3" t="s">
        <v>47</v>
      </c>
      <c r="U123" s="3" t="s">
        <v>47</v>
      </c>
      <c r="V123" s="4" t="s">
        <v>239</v>
      </c>
      <c r="W123" s="49" t="n">
        <f aca="false">'Branham data'!G10</f>
        <v>1.44653665255027</v>
      </c>
      <c r="X123" s="2"/>
      <c r="Y123" s="2"/>
      <c r="Z123" s="2"/>
      <c r="AA123" s="2"/>
      <c r="AB123" s="2"/>
      <c r="AC123" s="2"/>
      <c r="AD123" s="2"/>
      <c r="AE123" s="2"/>
      <c r="AF123" s="2"/>
      <c r="AG123" s="2"/>
    </row>
    <row r="124" s="30" customFormat="true" ht="47.25" hidden="false" customHeight="false" outlineLevel="0" collapsed="false">
      <c r="A124" s="2"/>
      <c r="B124" s="35" t="s">
        <v>235</v>
      </c>
      <c r="C124" s="3" t="s">
        <v>236</v>
      </c>
      <c r="D124" s="3" t="n">
        <f aca="false">'Branham data'!B11</f>
        <v>2006</v>
      </c>
      <c r="E124" s="48" t="s">
        <v>244</v>
      </c>
      <c r="F124" s="32" t="s">
        <v>51</v>
      </c>
      <c r="G124" s="3" t="s">
        <v>46</v>
      </c>
      <c r="H124" s="3" t="s">
        <v>47</v>
      </c>
      <c r="I124" s="3" t="s">
        <v>53</v>
      </c>
      <c r="J124" s="3" t="s">
        <v>75</v>
      </c>
      <c r="K124" s="3" t="s">
        <v>75</v>
      </c>
      <c r="L124" s="3" t="s">
        <v>75</v>
      </c>
      <c r="M124" s="3" t="s">
        <v>47</v>
      </c>
      <c r="N124" s="3" t="s">
        <v>75</v>
      </c>
      <c r="O124" s="3" t="s">
        <v>238</v>
      </c>
      <c r="P124" s="3" t="s">
        <v>174</v>
      </c>
      <c r="Q124" s="32" t="s">
        <v>61</v>
      </c>
      <c r="R124" s="3" t="s">
        <v>47</v>
      </c>
      <c r="S124" s="3" t="s">
        <v>114</v>
      </c>
      <c r="T124" s="3" t="s">
        <v>47</v>
      </c>
      <c r="U124" s="3" t="s">
        <v>47</v>
      </c>
      <c r="V124" s="4" t="s">
        <v>239</v>
      </c>
      <c r="W124" s="49" t="n">
        <f aca="false">'Branham data'!G11</f>
        <v>1.96416986645306</v>
      </c>
      <c r="X124" s="2"/>
      <c r="Y124" s="2"/>
      <c r="Z124" s="2"/>
      <c r="AA124" s="2"/>
      <c r="AB124" s="2"/>
      <c r="AC124" s="2"/>
      <c r="AD124" s="2"/>
      <c r="AE124" s="2"/>
      <c r="AF124" s="2"/>
      <c r="AG124" s="2"/>
    </row>
    <row r="125" s="30" customFormat="true" ht="47.25" hidden="false" customHeight="false" outlineLevel="0" collapsed="false">
      <c r="A125" s="2"/>
      <c r="B125" s="35" t="s">
        <v>235</v>
      </c>
      <c r="C125" s="3" t="s">
        <v>236</v>
      </c>
      <c r="D125" s="3" t="n">
        <f aca="false">'Branham data'!B12</f>
        <v>2006</v>
      </c>
      <c r="E125" s="48" t="s">
        <v>245</v>
      </c>
      <c r="F125" s="32" t="s">
        <v>51</v>
      </c>
      <c r="G125" s="3" t="s">
        <v>46</v>
      </c>
      <c r="H125" s="3" t="s">
        <v>47</v>
      </c>
      <c r="I125" s="3" t="s">
        <v>53</v>
      </c>
      <c r="J125" s="3" t="s">
        <v>75</v>
      </c>
      <c r="K125" s="3" t="s">
        <v>75</v>
      </c>
      <c r="L125" s="3" t="s">
        <v>75</v>
      </c>
      <c r="M125" s="3" t="s">
        <v>47</v>
      </c>
      <c r="N125" s="3" t="s">
        <v>75</v>
      </c>
      <c r="O125" s="3" t="s">
        <v>238</v>
      </c>
      <c r="P125" s="3" t="s">
        <v>174</v>
      </c>
      <c r="Q125" s="32" t="s">
        <v>61</v>
      </c>
      <c r="R125" s="3" t="s">
        <v>47</v>
      </c>
      <c r="S125" s="3" t="s">
        <v>114</v>
      </c>
      <c r="T125" s="3" t="s">
        <v>47</v>
      </c>
      <c r="U125" s="3" t="s">
        <v>47</v>
      </c>
      <c r="V125" s="4" t="s">
        <v>239</v>
      </c>
      <c r="W125" s="49" t="n">
        <f aca="false">'Branham data'!G12</f>
        <v>1.91453380484594</v>
      </c>
      <c r="X125" s="2"/>
      <c r="Y125" s="2"/>
      <c r="Z125" s="2"/>
      <c r="AA125" s="2"/>
      <c r="AB125" s="2"/>
      <c r="AC125" s="2"/>
      <c r="AD125" s="2"/>
      <c r="AE125" s="2"/>
      <c r="AF125" s="2"/>
      <c r="AG125" s="2"/>
    </row>
    <row r="126" s="30" customFormat="true" ht="63" hidden="false" customHeight="false" outlineLevel="0" collapsed="false">
      <c r="A126" s="2"/>
      <c r="B126" s="35" t="s">
        <v>246</v>
      </c>
      <c r="C126" s="3" t="s">
        <v>247</v>
      </c>
      <c r="D126" s="3" t="n">
        <v>2002</v>
      </c>
      <c r="E126" s="48" t="s">
        <v>248</v>
      </c>
      <c r="F126" s="32" t="s">
        <v>45</v>
      </c>
      <c r="G126" s="3" t="s">
        <v>46</v>
      </c>
      <c r="H126" s="3" t="s">
        <v>47</v>
      </c>
      <c r="I126" s="3" t="s">
        <v>53</v>
      </c>
      <c r="J126" s="3" t="n">
        <v>130</v>
      </c>
      <c r="K126" s="3" t="s">
        <v>226</v>
      </c>
      <c r="L126" s="3" t="s">
        <v>47</v>
      </c>
      <c r="M126" s="3" t="s">
        <v>53</v>
      </c>
      <c r="N126" s="3" t="s">
        <v>53</v>
      </c>
      <c r="O126" s="3" t="s">
        <v>54</v>
      </c>
      <c r="P126" s="3" t="s">
        <v>55</v>
      </c>
      <c r="Q126" s="32" t="s">
        <v>50</v>
      </c>
      <c r="R126" s="3" t="s">
        <v>47</v>
      </c>
      <c r="S126" s="3" t="s">
        <v>53</v>
      </c>
      <c r="T126" s="3" t="s">
        <v>47</v>
      </c>
      <c r="U126" s="3" t="s">
        <v>53</v>
      </c>
      <c r="V126" s="4" t="s">
        <v>249</v>
      </c>
      <c r="W126" s="49" t="n">
        <f aca="false">'Murphy data'!J12</f>
        <v>0.912847110015944</v>
      </c>
      <c r="X126" s="2"/>
      <c r="Y126" s="2"/>
      <c r="Z126" s="2"/>
      <c r="AA126" s="2"/>
      <c r="AB126" s="2"/>
      <c r="AC126" s="2"/>
      <c r="AD126" s="2"/>
      <c r="AE126" s="2"/>
      <c r="AF126" s="2"/>
      <c r="AG126" s="2"/>
    </row>
    <row r="127" s="30" customFormat="true" ht="63" hidden="false" customHeight="false" outlineLevel="0" collapsed="false">
      <c r="A127" s="2"/>
      <c r="B127" s="35" t="s">
        <v>246</v>
      </c>
      <c r="C127" s="3" t="s">
        <v>247</v>
      </c>
      <c r="D127" s="3" t="n">
        <v>2002</v>
      </c>
      <c r="E127" s="48" t="s">
        <v>248</v>
      </c>
      <c r="F127" s="32" t="s">
        <v>45</v>
      </c>
      <c r="G127" s="3" t="s">
        <v>46</v>
      </c>
      <c r="H127" s="3" t="s">
        <v>47</v>
      </c>
      <c r="I127" s="3" t="s">
        <v>53</v>
      </c>
      <c r="J127" s="3" t="n">
        <v>130</v>
      </c>
      <c r="K127" s="3" t="s">
        <v>226</v>
      </c>
      <c r="L127" s="3" t="s">
        <v>47</v>
      </c>
      <c r="M127" s="3" t="s">
        <v>53</v>
      </c>
      <c r="N127" s="3" t="s">
        <v>53</v>
      </c>
      <c r="O127" s="3" t="s">
        <v>54</v>
      </c>
      <c r="P127" s="3" t="s">
        <v>55</v>
      </c>
      <c r="Q127" s="32" t="s">
        <v>50</v>
      </c>
      <c r="R127" s="3" t="s">
        <v>47</v>
      </c>
      <c r="S127" s="3" t="s">
        <v>53</v>
      </c>
      <c r="T127" s="3" t="s">
        <v>47</v>
      </c>
      <c r="U127" s="3" t="s">
        <v>53</v>
      </c>
      <c r="V127" s="4" t="s">
        <v>250</v>
      </c>
      <c r="W127" s="49" t="n">
        <f aca="false">'Murphy data'!J13</f>
        <v>1.10302359126927</v>
      </c>
      <c r="X127" s="2"/>
      <c r="Y127" s="2"/>
      <c r="Z127" s="2"/>
      <c r="AA127" s="2"/>
      <c r="AB127" s="2"/>
      <c r="AC127" s="2"/>
      <c r="AD127" s="2"/>
      <c r="AE127" s="2"/>
      <c r="AF127" s="2"/>
      <c r="AG127" s="2"/>
    </row>
    <row r="128" s="30" customFormat="true" ht="47.25" hidden="false" customHeight="false" outlineLevel="0" collapsed="false">
      <c r="A128" s="2"/>
      <c r="B128" s="35" t="s">
        <v>251</v>
      </c>
      <c r="C128" s="3" t="s">
        <v>252</v>
      </c>
      <c r="D128" s="3" t="n">
        <f aca="false">'Yao data'!B6</f>
        <v>2008</v>
      </c>
      <c r="E128" s="48" t="s">
        <v>253</v>
      </c>
      <c r="F128" s="32" t="s">
        <v>51</v>
      </c>
      <c r="G128" s="3" t="s">
        <v>75</v>
      </c>
      <c r="H128" s="3" t="s">
        <v>47</v>
      </c>
      <c r="I128" s="3" t="s">
        <v>53</v>
      </c>
      <c r="J128" s="3" t="s">
        <v>75</v>
      </c>
      <c r="K128" s="3" t="s">
        <v>75</v>
      </c>
      <c r="L128" s="3" t="s">
        <v>75</v>
      </c>
      <c r="M128" s="3" t="s">
        <v>75</v>
      </c>
      <c r="N128" s="3" t="s">
        <v>53</v>
      </c>
      <c r="O128" s="3" t="s">
        <v>75</v>
      </c>
      <c r="P128" s="3" t="s">
        <v>55</v>
      </c>
      <c r="Q128" s="32" t="s">
        <v>56</v>
      </c>
      <c r="R128" s="3" t="s">
        <v>47</v>
      </c>
      <c r="S128" s="3" t="s">
        <v>53</v>
      </c>
      <c r="T128" s="3" t="s">
        <v>53</v>
      </c>
      <c r="U128" s="3" t="s">
        <v>47</v>
      </c>
      <c r="V128" s="4" t="s">
        <v>254</v>
      </c>
      <c r="W128" s="49" t="n">
        <f aca="false">'Yao data'!H6</f>
        <v>0.737450058162881</v>
      </c>
      <c r="X128" s="2"/>
      <c r="Y128" s="2"/>
      <c r="Z128" s="2"/>
      <c r="AA128" s="2"/>
      <c r="AB128" s="2"/>
      <c r="AC128" s="2"/>
      <c r="AD128" s="2"/>
      <c r="AE128" s="2"/>
      <c r="AF128" s="2"/>
      <c r="AG128" s="2"/>
    </row>
    <row r="129" s="30" customFormat="true" ht="47.25" hidden="false" customHeight="false" outlineLevel="0" collapsed="false">
      <c r="A129" s="2"/>
      <c r="B129" s="35" t="s">
        <v>251</v>
      </c>
      <c r="C129" s="3" t="s">
        <v>252</v>
      </c>
      <c r="D129" s="3" t="n">
        <f aca="false">'Yao data'!B7</f>
        <v>2007</v>
      </c>
      <c r="E129" s="48" t="s">
        <v>253</v>
      </c>
      <c r="F129" s="32" t="s">
        <v>51</v>
      </c>
      <c r="G129" s="3" t="s">
        <v>75</v>
      </c>
      <c r="H129" s="3" t="s">
        <v>47</v>
      </c>
      <c r="I129" s="3" t="s">
        <v>53</v>
      </c>
      <c r="J129" s="3" t="s">
        <v>75</v>
      </c>
      <c r="K129" s="3" t="s">
        <v>75</v>
      </c>
      <c r="L129" s="3" t="s">
        <v>75</v>
      </c>
      <c r="M129" s="3" t="s">
        <v>75</v>
      </c>
      <c r="N129" s="3" t="s">
        <v>53</v>
      </c>
      <c r="O129" s="3" t="s">
        <v>75</v>
      </c>
      <c r="P129" s="3" t="s">
        <v>55</v>
      </c>
      <c r="Q129" s="32" t="s">
        <v>56</v>
      </c>
      <c r="R129" s="3" t="s">
        <v>47</v>
      </c>
      <c r="S129" s="3" t="s">
        <v>53</v>
      </c>
      <c r="T129" s="3" t="s">
        <v>53</v>
      </c>
      <c r="U129" s="3" t="s">
        <v>47</v>
      </c>
      <c r="V129" s="4" t="s">
        <v>254</v>
      </c>
      <c r="W129" s="49" t="n">
        <f aca="false">'Yao data'!H7</f>
        <v>0.737450058162881</v>
      </c>
      <c r="X129" s="2"/>
      <c r="Y129" s="2"/>
      <c r="Z129" s="2"/>
      <c r="AA129" s="2"/>
      <c r="AB129" s="2"/>
      <c r="AC129" s="2"/>
      <c r="AD129" s="2"/>
      <c r="AE129" s="2"/>
      <c r="AF129" s="2"/>
      <c r="AG129" s="2"/>
    </row>
    <row r="130" s="30" customFormat="true" ht="47.25" hidden="false" customHeight="false" outlineLevel="0" collapsed="false">
      <c r="A130" s="2"/>
      <c r="B130" s="35" t="s">
        <v>251</v>
      </c>
      <c r="C130" s="3" t="s">
        <v>252</v>
      </c>
      <c r="D130" s="3" t="n">
        <f aca="false">'Yao data'!B8</f>
        <v>2006</v>
      </c>
      <c r="E130" s="48" t="s">
        <v>253</v>
      </c>
      <c r="F130" s="32" t="s">
        <v>51</v>
      </c>
      <c r="G130" s="3" t="s">
        <v>75</v>
      </c>
      <c r="H130" s="3" t="s">
        <v>47</v>
      </c>
      <c r="I130" s="3" t="s">
        <v>53</v>
      </c>
      <c r="J130" s="3" t="s">
        <v>75</v>
      </c>
      <c r="K130" s="3" t="s">
        <v>75</v>
      </c>
      <c r="L130" s="3" t="s">
        <v>75</v>
      </c>
      <c r="M130" s="3" t="s">
        <v>75</v>
      </c>
      <c r="N130" s="3" t="s">
        <v>53</v>
      </c>
      <c r="O130" s="3" t="s">
        <v>75</v>
      </c>
      <c r="P130" s="3" t="s">
        <v>55</v>
      </c>
      <c r="Q130" s="32" t="s">
        <v>56</v>
      </c>
      <c r="R130" s="3" t="s">
        <v>47</v>
      </c>
      <c r="S130" s="3" t="s">
        <v>53</v>
      </c>
      <c r="T130" s="3" t="s">
        <v>53</v>
      </c>
      <c r="U130" s="3" t="s">
        <v>47</v>
      </c>
      <c r="V130" s="4" t="s">
        <v>254</v>
      </c>
      <c r="W130" s="49" t="n">
        <f aca="false">'Yao data'!H8</f>
        <v>0.886358242984232</v>
      </c>
      <c r="X130" s="2"/>
      <c r="Y130" s="2"/>
      <c r="Z130" s="2"/>
      <c r="AA130" s="2"/>
      <c r="AB130" s="2"/>
      <c r="AC130" s="2"/>
      <c r="AD130" s="2"/>
      <c r="AE130" s="2"/>
      <c r="AF130" s="2"/>
      <c r="AG130" s="2"/>
    </row>
    <row r="131" s="30" customFormat="true" ht="47.25" hidden="false" customHeight="false" outlineLevel="0" collapsed="false">
      <c r="A131" s="2"/>
      <c r="B131" s="35" t="s">
        <v>251</v>
      </c>
      <c r="C131" s="3" t="s">
        <v>252</v>
      </c>
      <c r="D131" s="3" t="n">
        <f aca="false">'Yao data'!B9</f>
        <v>2005</v>
      </c>
      <c r="E131" s="48" t="s">
        <v>253</v>
      </c>
      <c r="F131" s="32" t="s">
        <v>51</v>
      </c>
      <c r="G131" s="3" t="s">
        <v>75</v>
      </c>
      <c r="H131" s="3" t="s">
        <v>47</v>
      </c>
      <c r="I131" s="3" t="s">
        <v>53</v>
      </c>
      <c r="J131" s="3" t="s">
        <v>75</v>
      </c>
      <c r="K131" s="3" t="s">
        <v>75</v>
      </c>
      <c r="L131" s="3" t="s">
        <v>75</v>
      </c>
      <c r="M131" s="3" t="s">
        <v>75</v>
      </c>
      <c r="N131" s="3" t="s">
        <v>53</v>
      </c>
      <c r="O131" s="3" t="s">
        <v>75</v>
      </c>
      <c r="P131" s="3" t="s">
        <v>55</v>
      </c>
      <c r="Q131" s="32" t="s">
        <v>56</v>
      </c>
      <c r="R131" s="3" t="s">
        <v>47</v>
      </c>
      <c r="S131" s="3" t="s">
        <v>53</v>
      </c>
      <c r="T131" s="3" t="s">
        <v>53</v>
      </c>
      <c r="U131" s="3" t="s">
        <v>47</v>
      </c>
      <c r="V131" s="4" t="s">
        <v>254</v>
      </c>
      <c r="W131" s="49" t="n">
        <f aca="false">'Yao data'!H9</f>
        <v>0.964357768366844</v>
      </c>
      <c r="X131" s="2"/>
      <c r="Y131" s="2"/>
      <c r="Z131" s="2"/>
      <c r="AA131" s="2"/>
      <c r="AB131" s="2"/>
      <c r="AC131" s="2"/>
      <c r="AD131" s="2"/>
      <c r="AE131" s="2"/>
      <c r="AF131" s="2"/>
      <c r="AG131" s="2"/>
    </row>
    <row r="132" s="30" customFormat="true" ht="47.25" hidden="false" customHeight="false" outlineLevel="0" collapsed="false">
      <c r="A132" s="2"/>
      <c r="B132" s="35" t="s">
        <v>251</v>
      </c>
      <c r="C132" s="3" t="s">
        <v>252</v>
      </c>
      <c r="D132" s="3" t="n">
        <f aca="false">'Yao data'!B10</f>
        <v>2004</v>
      </c>
      <c r="E132" s="48" t="s">
        <v>253</v>
      </c>
      <c r="F132" s="32" t="s">
        <v>51</v>
      </c>
      <c r="G132" s="3" t="s">
        <v>75</v>
      </c>
      <c r="H132" s="3" t="s">
        <v>47</v>
      </c>
      <c r="I132" s="3" t="s">
        <v>53</v>
      </c>
      <c r="J132" s="3" t="s">
        <v>75</v>
      </c>
      <c r="K132" s="3" t="s">
        <v>75</v>
      </c>
      <c r="L132" s="3" t="s">
        <v>75</v>
      </c>
      <c r="M132" s="3" t="s">
        <v>75</v>
      </c>
      <c r="N132" s="3" t="s">
        <v>53</v>
      </c>
      <c r="O132" s="3" t="s">
        <v>75</v>
      </c>
      <c r="P132" s="3" t="s">
        <v>55</v>
      </c>
      <c r="Q132" s="32" t="s">
        <v>56</v>
      </c>
      <c r="R132" s="3" t="s">
        <v>47</v>
      </c>
      <c r="S132" s="3" t="s">
        <v>53</v>
      </c>
      <c r="T132" s="3" t="s">
        <v>53</v>
      </c>
      <c r="U132" s="3" t="s">
        <v>47</v>
      </c>
      <c r="V132" s="4" t="s">
        <v>254</v>
      </c>
      <c r="W132" s="49" t="n">
        <f aca="false">'Yao data'!H10</f>
        <v>0.99272123214234</v>
      </c>
      <c r="X132" s="2"/>
      <c r="Y132" s="2"/>
      <c r="Z132" s="2"/>
      <c r="AA132" s="2"/>
      <c r="AB132" s="2"/>
      <c r="AC132" s="2"/>
      <c r="AD132" s="2"/>
      <c r="AE132" s="2"/>
      <c r="AF132" s="2"/>
      <c r="AG132" s="2"/>
    </row>
    <row r="133" s="30" customFormat="true" ht="47.25" hidden="false" customHeight="false" outlineLevel="0" collapsed="false">
      <c r="A133" s="2"/>
      <c r="B133" s="35" t="s">
        <v>251</v>
      </c>
      <c r="C133" s="3" t="s">
        <v>252</v>
      </c>
      <c r="D133" s="3" t="n">
        <f aca="false">'Yao data'!B11</f>
        <v>2003</v>
      </c>
      <c r="E133" s="48" t="s">
        <v>253</v>
      </c>
      <c r="F133" s="32" t="s">
        <v>51</v>
      </c>
      <c r="G133" s="3" t="s">
        <v>75</v>
      </c>
      <c r="H133" s="3" t="s">
        <v>47</v>
      </c>
      <c r="I133" s="3" t="s">
        <v>53</v>
      </c>
      <c r="J133" s="3" t="s">
        <v>75</v>
      </c>
      <c r="K133" s="3" t="s">
        <v>75</v>
      </c>
      <c r="L133" s="3" t="s">
        <v>75</v>
      </c>
      <c r="M133" s="3" t="s">
        <v>75</v>
      </c>
      <c r="N133" s="3" t="s">
        <v>53</v>
      </c>
      <c r="O133" s="3" t="s">
        <v>75</v>
      </c>
      <c r="P133" s="3" t="s">
        <v>55</v>
      </c>
      <c r="Q133" s="32" t="s">
        <v>56</v>
      </c>
      <c r="R133" s="3" t="s">
        <v>47</v>
      </c>
      <c r="S133" s="3" t="s">
        <v>53</v>
      </c>
      <c r="T133" s="3" t="s">
        <v>53</v>
      </c>
      <c r="U133" s="3" t="s">
        <v>47</v>
      </c>
      <c r="V133" s="4" t="s">
        <v>254</v>
      </c>
      <c r="W133" s="49" t="n">
        <f aca="false">'Yao data'!H11</f>
        <v>1.07781162346883</v>
      </c>
      <c r="X133" s="2"/>
      <c r="Y133" s="2"/>
      <c r="Z133" s="2"/>
      <c r="AA133" s="2"/>
      <c r="AB133" s="2"/>
      <c r="AC133" s="2"/>
      <c r="AD133" s="2"/>
      <c r="AE133" s="2"/>
      <c r="AF133" s="2"/>
      <c r="AG133" s="2"/>
    </row>
    <row r="134" s="30" customFormat="true" ht="47.25" hidden="false" customHeight="false" outlineLevel="0" collapsed="false">
      <c r="A134" s="2"/>
      <c r="B134" s="35" t="s">
        <v>251</v>
      </c>
      <c r="C134" s="3" t="s">
        <v>252</v>
      </c>
      <c r="D134" s="3" t="n">
        <f aca="false">'Yao data'!B12</f>
        <v>2002</v>
      </c>
      <c r="E134" s="48" t="s">
        <v>253</v>
      </c>
      <c r="F134" s="32" t="s">
        <v>51</v>
      </c>
      <c r="G134" s="3" t="s">
        <v>75</v>
      </c>
      <c r="H134" s="3" t="s">
        <v>47</v>
      </c>
      <c r="I134" s="3" t="s">
        <v>53</v>
      </c>
      <c r="J134" s="3" t="s">
        <v>75</v>
      </c>
      <c r="K134" s="3" t="s">
        <v>75</v>
      </c>
      <c r="L134" s="3" t="s">
        <v>75</v>
      </c>
      <c r="M134" s="3" t="s">
        <v>75</v>
      </c>
      <c r="N134" s="3" t="s">
        <v>53</v>
      </c>
      <c r="O134" s="3" t="s">
        <v>75</v>
      </c>
      <c r="P134" s="3" t="s">
        <v>55</v>
      </c>
      <c r="Q134" s="32" t="s">
        <v>56</v>
      </c>
      <c r="R134" s="3" t="s">
        <v>47</v>
      </c>
      <c r="S134" s="3" t="s">
        <v>53</v>
      </c>
      <c r="T134" s="3" t="s">
        <v>53</v>
      </c>
      <c r="U134" s="3" t="s">
        <v>47</v>
      </c>
      <c r="V134" s="4" t="s">
        <v>254</v>
      </c>
      <c r="W134" s="49" t="n">
        <f aca="false">'Yao data'!H12</f>
        <v>1.13453855101982</v>
      </c>
      <c r="X134" s="2"/>
      <c r="Y134" s="2"/>
      <c r="Z134" s="2"/>
      <c r="AA134" s="2"/>
      <c r="AB134" s="2"/>
      <c r="AC134" s="2"/>
      <c r="AD134" s="2"/>
      <c r="AE134" s="2"/>
      <c r="AF134" s="2"/>
      <c r="AG134" s="2"/>
    </row>
    <row r="135" s="30" customFormat="true" ht="47.25" hidden="false" customHeight="false" outlineLevel="0" collapsed="false">
      <c r="A135" s="2"/>
      <c r="B135" s="35" t="s">
        <v>251</v>
      </c>
      <c r="C135" s="3" t="s">
        <v>252</v>
      </c>
      <c r="D135" s="3" t="n">
        <f aca="false">'Yao data'!B13</f>
        <v>2001</v>
      </c>
      <c r="E135" s="48" t="s">
        <v>253</v>
      </c>
      <c r="F135" s="32" t="s">
        <v>51</v>
      </c>
      <c r="G135" s="3" t="s">
        <v>75</v>
      </c>
      <c r="H135" s="3" t="s">
        <v>47</v>
      </c>
      <c r="I135" s="3" t="s">
        <v>53</v>
      </c>
      <c r="J135" s="3" t="s">
        <v>75</v>
      </c>
      <c r="K135" s="3" t="s">
        <v>75</v>
      </c>
      <c r="L135" s="3" t="s">
        <v>75</v>
      </c>
      <c r="M135" s="3" t="s">
        <v>75</v>
      </c>
      <c r="N135" s="3" t="s">
        <v>53</v>
      </c>
      <c r="O135" s="3" t="s">
        <v>75</v>
      </c>
      <c r="P135" s="3" t="s">
        <v>55</v>
      </c>
      <c r="Q135" s="32" t="s">
        <v>56</v>
      </c>
      <c r="R135" s="3" t="s">
        <v>47</v>
      </c>
      <c r="S135" s="3" t="s">
        <v>53</v>
      </c>
      <c r="T135" s="3" t="s">
        <v>53</v>
      </c>
      <c r="U135" s="3" t="s">
        <v>47</v>
      </c>
      <c r="V135" s="4" t="s">
        <v>254</v>
      </c>
      <c r="W135" s="49" t="n">
        <f aca="false">'Yao data'!H13</f>
        <v>1.16999288073919</v>
      </c>
      <c r="X135" s="2"/>
      <c r="Y135" s="2"/>
      <c r="Z135" s="2"/>
      <c r="AA135" s="2"/>
      <c r="AB135" s="2"/>
      <c r="AC135" s="2"/>
      <c r="AD135" s="2"/>
      <c r="AE135" s="2"/>
      <c r="AF135" s="2"/>
      <c r="AG135" s="2"/>
    </row>
    <row r="136" s="51" customFormat="true" ht="15.75" hidden="false" customHeight="false" outlineLevel="0" collapsed="false">
      <c r="A136" s="50"/>
      <c r="C136" s="52"/>
      <c r="D136" s="52"/>
      <c r="E136" s="52"/>
      <c r="F136" s="52"/>
      <c r="G136" s="52"/>
      <c r="H136" s="52"/>
      <c r="I136" s="52"/>
      <c r="J136" s="52"/>
      <c r="K136" s="52"/>
      <c r="L136" s="52"/>
      <c r="M136" s="52"/>
      <c r="N136" s="52"/>
      <c r="O136" s="52"/>
      <c r="P136" s="52"/>
      <c r="Q136" s="52"/>
      <c r="R136" s="52"/>
      <c r="S136" s="52"/>
      <c r="T136" s="52"/>
      <c r="U136" s="52"/>
      <c r="W136" s="53"/>
    </row>
    <row r="137" s="30" customFormat="true" ht="141.75" hidden="false" customHeight="false" outlineLevel="0" collapsed="false">
      <c r="A137" s="2"/>
      <c r="B137" s="2" t="s">
        <v>255</v>
      </c>
      <c r="C137" s="32" t="s">
        <v>256</v>
      </c>
      <c r="D137" s="3" t="n">
        <v>2020</v>
      </c>
      <c r="E137" s="31" t="s">
        <v>4</v>
      </c>
      <c r="F137" s="32" t="s">
        <v>51</v>
      </c>
      <c r="G137" s="3" t="s">
        <v>257</v>
      </c>
      <c r="H137" s="3" t="s">
        <v>47</v>
      </c>
      <c r="I137" s="3" t="s">
        <v>114</v>
      </c>
      <c r="J137" s="3" t="s">
        <v>258</v>
      </c>
      <c r="K137" s="3" t="s">
        <v>259</v>
      </c>
      <c r="L137" s="32" t="s">
        <v>108</v>
      </c>
      <c r="M137" s="3" t="s">
        <v>47</v>
      </c>
      <c r="N137" s="3" t="s">
        <v>82</v>
      </c>
      <c r="O137" s="3" t="s">
        <v>260</v>
      </c>
      <c r="P137" s="3" t="s">
        <v>89</v>
      </c>
      <c r="Q137" s="3" t="s">
        <v>56</v>
      </c>
      <c r="R137" s="3" t="s">
        <v>47</v>
      </c>
      <c r="S137" s="3" t="s">
        <v>53</v>
      </c>
      <c r="T137" s="3" t="s">
        <v>53</v>
      </c>
      <c r="U137" s="3" t="s">
        <v>53</v>
      </c>
      <c r="V137" s="4" t="s">
        <v>261</v>
      </c>
      <c r="W137" s="28" t="n">
        <f aca="false">'Industries data'!F4</f>
        <v>0.632753804790661</v>
      </c>
    </row>
    <row r="138" s="30" customFormat="true" ht="141.75" hidden="false" customHeight="false" outlineLevel="0" collapsed="false">
      <c r="A138" s="2"/>
      <c r="B138" s="2" t="s">
        <v>262</v>
      </c>
      <c r="C138" s="32" t="s">
        <v>256</v>
      </c>
      <c r="D138" s="3" t="n">
        <v>2019</v>
      </c>
      <c r="E138" s="31" t="s">
        <v>4</v>
      </c>
      <c r="F138" s="32" t="s">
        <v>51</v>
      </c>
      <c r="G138" s="3" t="s">
        <v>257</v>
      </c>
      <c r="H138" s="3" t="s">
        <v>47</v>
      </c>
      <c r="I138" s="3" t="s">
        <v>114</v>
      </c>
      <c r="J138" s="3" t="s">
        <v>258</v>
      </c>
      <c r="K138" s="3" t="s">
        <v>259</v>
      </c>
      <c r="L138" s="32" t="s">
        <v>108</v>
      </c>
      <c r="M138" s="3" t="s">
        <v>47</v>
      </c>
      <c r="N138" s="3" t="s">
        <v>82</v>
      </c>
      <c r="O138" s="3" t="s">
        <v>260</v>
      </c>
      <c r="P138" s="3" t="s">
        <v>89</v>
      </c>
      <c r="Q138" s="3" t="s">
        <v>56</v>
      </c>
      <c r="R138" s="3" t="s">
        <v>47</v>
      </c>
      <c r="S138" s="3" t="s">
        <v>53</v>
      </c>
      <c r="T138" s="3" t="s">
        <v>53</v>
      </c>
      <c r="U138" s="3" t="s">
        <v>53</v>
      </c>
      <c r="V138" s="4" t="s">
        <v>261</v>
      </c>
      <c r="W138" s="28" t="n">
        <f aca="false">'Industries data'!F5</f>
        <v>0.781004582712984</v>
      </c>
    </row>
    <row r="139" s="30" customFormat="true" ht="141.75" hidden="false" customHeight="false" outlineLevel="0" collapsed="false">
      <c r="A139" s="2"/>
      <c r="B139" s="2" t="s">
        <v>263</v>
      </c>
      <c r="C139" s="32" t="s">
        <v>256</v>
      </c>
      <c r="D139" s="3" t="n">
        <v>2018</v>
      </c>
      <c r="E139" s="31" t="s">
        <v>4</v>
      </c>
      <c r="F139" s="32" t="s">
        <v>51</v>
      </c>
      <c r="G139" s="3" t="s">
        <v>257</v>
      </c>
      <c r="H139" s="3" t="s">
        <v>47</v>
      </c>
      <c r="I139" s="3" t="s">
        <v>114</v>
      </c>
      <c r="J139" s="3" t="s">
        <v>258</v>
      </c>
      <c r="K139" s="3" t="s">
        <v>259</v>
      </c>
      <c r="L139" s="32" t="s">
        <v>108</v>
      </c>
      <c r="M139" s="3" t="s">
        <v>47</v>
      </c>
      <c r="N139" s="3" t="s">
        <v>82</v>
      </c>
      <c r="O139" s="3" t="s">
        <v>260</v>
      </c>
      <c r="P139" s="3" t="s">
        <v>89</v>
      </c>
      <c r="Q139" s="3" t="s">
        <v>56</v>
      </c>
      <c r="R139" s="3" t="s">
        <v>47</v>
      </c>
      <c r="S139" s="3" t="s">
        <v>53</v>
      </c>
      <c r="T139" s="3" t="s">
        <v>53</v>
      </c>
      <c r="U139" s="3" t="s">
        <v>53</v>
      </c>
      <c r="V139" s="4" t="s">
        <v>261</v>
      </c>
      <c r="W139" s="28" t="n">
        <f aca="false">'Industries data'!F6</f>
        <v>0.84640372120574</v>
      </c>
    </row>
    <row r="140" s="30" customFormat="true" ht="141.75" hidden="false" customHeight="false" outlineLevel="0" collapsed="false">
      <c r="A140" s="2"/>
      <c r="B140" s="2" t="s">
        <v>264</v>
      </c>
      <c r="C140" s="32" t="s">
        <v>256</v>
      </c>
      <c r="D140" s="3" t="n">
        <v>2017</v>
      </c>
      <c r="E140" s="31" t="s">
        <v>4</v>
      </c>
      <c r="F140" s="32" t="s">
        <v>51</v>
      </c>
      <c r="G140" s="3" t="s">
        <v>257</v>
      </c>
      <c r="H140" s="3" t="s">
        <v>47</v>
      </c>
      <c r="I140" s="3" t="s">
        <v>114</v>
      </c>
      <c r="J140" s="3" t="s">
        <v>258</v>
      </c>
      <c r="K140" s="3" t="s">
        <v>259</v>
      </c>
      <c r="L140" s="32" t="s">
        <v>108</v>
      </c>
      <c r="M140" s="3" t="s">
        <v>47</v>
      </c>
      <c r="N140" s="3" t="s">
        <v>82</v>
      </c>
      <c r="O140" s="3" t="s">
        <v>260</v>
      </c>
      <c r="P140" s="3" t="s">
        <v>89</v>
      </c>
      <c r="Q140" s="3" t="s">
        <v>56</v>
      </c>
      <c r="R140" s="3" t="s">
        <v>47</v>
      </c>
      <c r="S140" s="3" t="s">
        <v>53</v>
      </c>
      <c r="T140" s="3" t="s">
        <v>53</v>
      </c>
      <c r="U140" s="3" t="s">
        <v>53</v>
      </c>
      <c r="V140" s="4" t="s">
        <v>261</v>
      </c>
      <c r="W140" s="28" t="n">
        <f aca="false">'Industries data'!F7</f>
        <v>0.876681637721982</v>
      </c>
    </row>
    <row r="141" s="30" customFormat="true" ht="141.75" hidden="false" customHeight="false" outlineLevel="0" collapsed="false">
      <c r="A141" s="2"/>
      <c r="B141" s="2" t="s">
        <v>265</v>
      </c>
      <c r="C141" s="32" t="s">
        <v>256</v>
      </c>
      <c r="D141" s="3" t="n">
        <v>2016</v>
      </c>
      <c r="E141" s="31" t="s">
        <v>4</v>
      </c>
      <c r="F141" s="32" t="s">
        <v>51</v>
      </c>
      <c r="G141" s="3" t="s">
        <v>257</v>
      </c>
      <c r="H141" s="3" t="s">
        <v>47</v>
      </c>
      <c r="I141" s="3" t="s">
        <v>114</v>
      </c>
      <c r="J141" s="3" t="s">
        <v>258</v>
      </c>
      <c r="K141" s="3" t="s">
        <v>259</v>
      </c>
      <c r="L141" s="32" t="s">
        <v>108</v>
      </c>
      <c r="M141" s="3" t="s">
        <v>47</v>
      </c>
      <c r="N141" s="3" t="s">
        <v>82</v>
      </c>
      <c r="O141" s="3" t="s">
        <v>260</v>
      </c>
      <c r="P141" s="3" t="s">
        <v>89</v>
      </c>
      <c r="Q141" s="3" t="s">
        <v>56</v>
      </c>
      <c r="R141" s="3" t="s">
        <v>47</v>
      </c>
      <c r="S141" s="3" t="s">
        <v>53</v>
      </c>
      <c r="T141" s="3" t="s">
        <v>53</v>
      </c>
      <c r="U141" s="3" t="s">
        <v>53</v>
      </c>
      <c r="V141" s="4" t="s">
        <v>261</v>
      </c>
      <c r="W141" s="28" t="n">
        <f aca="false">'Industries data'!F8</f>
        <v>0.897915020011725</v>
      </c>
    </row>
    <row r="142" s="30" customFormat="true" ht="141.75" hidden="false" customHeight="false" outlineLevel="0" collapsed="false">
      <c r="A142" s="2"/>
      <c r="B142" s="2" t="s">
        <v>266</v>
      </c>
      <c r="C142" s="32" t="s">
        <v>256</v>
      </c>
      <c r="D142" s="3" t="n">
        <v>2015</v>
      </c>
      <c r="E142" s="31" t="s">
        <v>4</v>
      </c>
      <c r="F142" s="32" t="s">
        <v>51</v>
      </c>
      <c r="G142" s="3" t="s">
        <v>257</v>
      </c>
      <c r="H142" s="3" t="s">
        <v>47</v>
      </c>
      <c r="I142" s="3" t="s">
        <v>114</v>
      </c>
      <c r="J142" s="3" t="s">
        <v>258</v>
      </c>
      <c r="K142" s="3" t="s">
        <v>259</v>
      </c>
      <c r="L142" s="32" t="s">
        <v>108</v>
      </c>
      <c r="M142" s="3" t="s">
        <v>47</v>
      </c>
      <c r="N142" s="3" t="s">
        <v>82</v>
      </c>
      <c r="O142" s="3" t="s">
        <v>260</v>
      </c>
      <c r="P142" s="3" t="s">
        <v>89</v>
      </c>
      <c r="Q142" s="3" t="s">
        <v>56</v>
      </c>
      <c r="R142" s="3" t="s">
        <v>47</v>
      </c>
      <c r="S142" s="3" t="s">
        <v>53</v>
      </c>
      <c r="T142" s="3" t="s">
        <v>53</v>
      </c>
      <c r="U142" s="3" t="s">
        <v>53</v>
      </c>
      <c r="V142" s="4" t="s">
        <v>261</v>
      </c>
      <c r="W142" s="28" t="n">
        <f aca="false">'Industries data'!F9</f>
        <v>0.928596702022692</v>
      </c>
    </row>
    <row r="143" s="30" customFormat="true" ht="141.75" hidden="false" customHeight="false" outlineLevel="0" collapsed="false">
      <c r="A143" s="2"/>
      <c r="B143" s="2" t="s">
        <v>267</v>
      </c>
      <c r="C143" s="32" t="s">
        <v>256</v>
      </c>
      <c r="D143" s="3" t="n">
        <v>2014</v>
      </c>
      <c r="E143" s="31" t="s">
        <v>4</v>
      </c>
      <c r="F143" s="32" t="s">
        <v>51</v>
      </c>
      <c r="G143" s="3" t="s">
        <v>257</v>
      </c>
      <c r="H143" s="3" t="s">
        <v>47</v>
      </c>
      <c r="I143" s="3" t="s">
        <v>114</v>
      </c>
      <c r="J143" s="3" t="s">
        <v>258</v>
      </c>
      <c r="K143" s="3" t="s">
        <v>259</v>
      </c>
      <c r="L143" s="32" t="s">
        <v>108</v>
      </c>
      <c r="M143" s="3" t="s">
        <v>47</v>
      </c>
      <c r="N143" s="3" t="s">
        <v>82</v>
      </c>
      <c r="O143" s="3" t="s">
        <v>260</v>
      </c>
      <c r="P143" s="3" t="s">
        <v>89</v>
      </c>
      <c r="Q143" s="3" t="s">
        <v>56</v>
      </c>
      <c r="R143" s="3" t="s">
        <v>47</v>
      </c>
      <c r="S143" s="3" t="s">
        <v>53</v>
      </c>
      <c r="T143" s="3" t="s">
        <v>53</v>
      </c>
      <c r="U143" s="3" t="s">
        <v>53</v>
      </c>
      <c r="V143" s="4" t="s">
        <v>261</v>
      </c>
      <c r="W143" s="28" t="n">
        <f aca="false">'Industries data'!F10</f>
        <v>1.01410962515065</v>
      </c>
    </row>
    <row r="144" s="30" customFormat="true" ht="141.75" hidden="false" customHeight="false" outlineLevel="0" collapsed="false">
      <c r="A144" s="2"/>
      <c r="B144" s="2" t="s">
        <v>268</v>
      </c>
      <c r="C144" s="32" t="s">
        <v>256</v>
      </c>
      <c r="D144" s="3" t="n">
        <v>2013</v>
      </c>
      <c r="E144" s="31" t="s">
        <v>4</v>
      </c>
      <c r="F144" s="32" t="s">
        <v>51</v>
      </c>
      <c r="G144" s="3" t="s">
        <v>257</v>
      </c>
      <c r="H144" s="3" t="s">
        <v>47</v>
      </c>
      <c r="I144" s="3" t="s">
        <v>114</v>
      </c>
      <c r="J144" s="3" t="s">
        <v>258</v>
      </c>
      <c r="K144" s="3" t="s">
        <v>259</v>
      </c>
      <c r="L144" s="32" t="s">
        <v>108</v>
      </c>
      <c r="M144" s="3" t="s">
        <v>47</v>
      </c>
      <c r="N144" s="3" t="s">
        <v>82</v>
      </c>
      <c r="O144" s="3" t="s">
        <v>260</v>
      </c>
      <c r="P144" s="3" t="s">
        <v>89</v>
      </c>
      <c r="Q144" s="3" t="s">
        <v>56</v>
      </c>
      <c r="R144" s="3" t="s">
        <v>47</v>
      </c>
      <c r="S144" s="3" t="s">
        <v>53</v>
      </c>
      <c r="T144" s="3" t="s">
        <v>53</v>
      </c>
      <c r="U144" s="3" t="s">
        <v>53</v>
      </c>
      <c r="V144" s="4" t="s">
        <v>261</v>
      </c>
      <c r="W144" s="28" t="n">
        <f aca="false">'Industries data'!F11</f>
        <v>1.35555794797508</v>
      </c>
    </row>
    <row r="145" s="30" customFormat="true" ht="141.75" hidden="false" customHeight="false" outlineLevel="0" collapsed="false">
      <c r="A145" s="2"/>
      <c r="B145" s="2" t="s">
        <v>269</v>
      </c>
      <c r="C145" s="32" t="s">
        <v>256</v>
      </c>
      <c r="D145" s="3" t="n">
        <v>2012</v>
      </c>
      <c r="E145" s="31" t="s">
        <v>4</v>
      </c>
      <c r="F145" s="32" t="s">
        <v>51</v>
      </c>
      <c r="G145" s="3" t="s">
        <v>257</v>
      </c>
      <c r="H145" s="3" t="s">
        <v>47</v>
      </c>
      <c r="I145" s="3" t="s">
        <v>114</v>
      </c>
      <c r="J145" s="3" t="s">
        <v>258</v>
      </c>
      <c r="K145" s="3" t="s">
        <v>259</v>
      </c>
      <c r="L145" s="32" t="s">
        <v>108</v>
      </c>
      <c r="M145" s="3" t="s">
        <v>47</v>
      </c>
      <c r="N145" s="3" t="s">
        <v>82</v>
      </c>
      <c r="O145" s="3" t="s">
        <v>260</v>
      </c>
      <c r="P145" s="3" t="s">
        <v>89</v>
      </c>
      <c r="Q145" s="3" t="s">
        <v>56</v>
      </c>
      <c r="R145" s="3" t="s">
        <v>47</v>
      </c>
      <c r="S145" s="3" t="s">
        <v>53</v>
      </c>
      <c r="T145" s="3" t="s">
        <v>53</v>
      </c>
      <c r="U145" s="3" t="s">
        <v>53</v>
      </c>
      <c r="V145" s="4" t="s">
        <v>261</v>
      </c>
      <c r="W145" s="28" t="n">
        <f aca="false">'Industries data'!F12</f>
        <v>1.1506684826243</v>
      </c>
    </row>
    <row r="146" s="30" customFormat="true" ht="141.75" hidden="false" customHeight="false" outlineLevel="0" collapsed="false">
      <c r="A146" s="2"/>
      <c r="B146" s="2" t="s">
        <v>270</v>
      </c>
      <c r="C146" s="32" t="s">
        <v>256</v>
      </c>
      <c r="D146" s="3" t="n">
        <v>2011</v>
      </c>
      <c r="E146" s="31" t="s">
        <v>4</v>
      </c>
      <c r="F146" s="32" t="s">
        <v>51</v>
      </c>
      <c r="G146" s="3" t="s">
        <v>257</v>
      </c>
      <c r="H146" s="3" t="s">
        <v>47</v>
      </c>
      <c r="I146" s="3" t="s">
        <v>114</v>
      </c>
      <c r="J146" s="3" t="s">
        <v>258</v>
      </c>
      <c r="K146" s="3" t="s">
        <v>259</v>
      </c>
      <c r="L146" s="32" t="s">
        <v>108</v>
      </c>
      <c r="M146" s="3" t="s">
        <v>47</v>
      </c>
      <c r="N146" s="3" t="s">
        <v>82</v>
      </c>
      <c r="O146" s="3" t="s">
        <v>260</v>
      </c>
      <c r="P146" s="3" t="s">
        <v>89</v>
      </c>
      <c r="Q146" s="3" t="s">
        <v>56</v>
      </c>
      <c r="R146" s="3" t="s">
        <v>47</v>
      </c>
      <c r="S146" s="3" t="s">
        <v>53</v>
      </c>
      <c r="T146" s="3" t="s">
        <v>53</v>
      </c>
      <c r="U146" s="3" t="s">
        <v>53</v>
      </c>
      <c r="V146" s="4" t="s">
        <v>261</v>
      </c>
      <c r="W146" s="28" t="n">
        <f aca="false">'Industries data'!F13</f>
        <v>1.27236267277083</v>
      </c>
    </row>
    <row r="147" s="47" customFormat="true" ht="15.75" hidden="false" customHeight="false" outlineLevel="0" collapsed="false">
      <c r="A147" s="40"/>
      <c r="B147" s="40"/>
      <c r="C147" s="41" t="s">
        <v>169</v>
      </c>
      <c r="D147" s="42"/>
      <c r="E147" s="43"/>
      <c r="F147" s="41" t="s">
        <v>169</v>
      </c>
      <c r="G147" s="42"/>
      <c r="H147" s="42"/>
      <c r="I147" s="42"/>
      <c r="J147" s="42"/>
      <c r="K147" s="42"/>
      <c r="L147" s="41"/>
      <c r="M147" s="42"/>
      <c r="N147" s="42"/>
      <c r="O147" s="42"/>
      <c r="P147" s="42"/>
      <c r="Q147" s="42"/>
      <c r="R147" s="42"/>
      <c r="S147" s="42"/>
      <c r="T147" s="42"/>
      <c r="U147" s="42"/>
      <c r="V147" s="44"/>
      <c r="W147" s="45"/>
      <c r="X147" s="46"/>
      <c r="Y147" s="46"/>
      <c r="Z147" s="40"/>
      <c r="AA147" s="40"/>
      <c r="AB147" s="40"/>
      <c r="AC147" s="40"/>
      <c r="AD147" s="40"/>
      <c r="AE147" s="40"/>
      <c r="AF147" s="40"/>
      <c r="AG147" s="40"/>
    </row>
    <row r="148" s="30" customFormat="true" ht="157.5" hidden="false" customHeight="false" outlineLevel="0" collapsed="false">
      <c r="A148" s="2"/>
      <c r="B148" s="2" t="s">
        <v>271</v>
      </c>
      <c r="C148" s="32" t="s">
        <v>272</v>
      </c>
      <c r="D148" s="3" t="n">
        <v>2020</v>
      </c>
      <c r="E148" s="20" t="s">
        <v>4</v>
      </c>
      <c r="F148" s="32" t="s">
        <v>51</v>
      </c>
      <c r="G148" s="3" t="s">
        <v>257</v>
      </c>
      <c r="H148" s="3" t="s">
        <v>47</v>
      </c>
      <c r="I148" s="3" t="s">
        <v>114</v>
      </c>
      <c r="J148" s="3" t="s">
        <v>258</v>
      </c>
      <c r="K148" s="3" t="s">
        <v>259</v>
      </c>
      <c r="L148" s="32" t="s">
        <v>108</v>
      </c>
      <c r="M148" s="3" t="s">
        <v>47</v>
      </c>
      <c r="N148" s="3" t="s">
        <v>82</v>
      </c>
      <c r="O148" s="3" t="s">
        <v>260</v>
      </c>
      <c r="P148" s="3" t="s">
        <v>89</v>
      </c>
      <c r="Q148" s="3" t="s">
        <v>56</v>
      </c>
      <c r="R148" s="3" t="s">
        <v>47</v>
      </c>
      <c r="S148" s="3" t="s">
        <v>53</v>
      </c>
      <c r="T148" s="3" t="s">
        <v>53</v>
      </c>
      <c r="U148" s="3" t="s">
        <v>53</v>
      </c>
      <c r="V148" s="4" t="s">
        <v>273</v>
      </c>
      <c r="W148" s="28" t="n">
        <f aca="false">'Industries data'!F15</f>
        <v>1.12226791869981</v>
      </c>
    </row>
    <row r="149" s="30" customFormat="true" ht="157.5" hidden="false" customHeight="false" outlineLevel="0" collapsed="false">
      <c r="A149" s="2"/>
      <c r="B149" s="2" t="s">
        <v>274</v>
      </c>
      <c r="C149" s="32" t="s">
        <v>272</v>
      </c>
      <c r="D149" s="3" t="n">
        <v>2019</v>
      </c>
      <c r="E149" s="20" t="s">
        <v>4</v>
      </c>
      <c r="F149" s="32" t="s">
        <v>51</v>
      </c>
      <c r="G149" s="3" t="s">
        <v>257</v>
      </c>
      <c r="H149" s="3" t="s">
        <v>47</v>
      </c>
      <c r="I149" s="3" t="s">
        <v>114</v>
      </c>
      <c r="J149" s="3" t="s">
        <v>258</v>
      </c>
      <c r="K149" s="3" t="s">
        <v>259</v>
      </c>
      <c r="L149" s="32" t="s">
        <v>108</v>
      </c>
      <c r="M149" s="3" t="s">
        <v>47</v>
      </c>
      <c r="N149" s="3" t="s">
        <v>82</v>
      </c>
      <c r="O149" s="3" t="s">
        <v>260</v>
      </c>
      <c r="P149" s="3" t="s">
        <v>89</v>
      </c>
      <c r="Q149" s="3" t="s">
        <v>56</v>
      </c>
      <c r="R149" s="3" t="s">
        <v>47</v>
      </c>
      <c r="S149" s="3" t="s">
        <v>53</v>
      </c>
      <c r="T149" s="3" t="s">
        <v>53</v>
      </c>
      <c r="U149" s="3" t="s">
        <v>53</v>
      </c>
      <c r="V149" s="4" t="s">
        <v>273</v>
      </c>
      <c r="W149" s="28" t="n">
        <f aca="false">'Industries data'!F16</f>
        <v>1.03406061045842</v>
      </c>
    </row>
    <row r="150" s="30" customFormat="true" ht="157.5" hidden="false" customHeight="false" outlineLevel="0" collapsed="false">
      <c r="A150" s="2"/>
      <c r="B150" s="2" t="s">
        <v>275</v>
      </c>
      <c r="C150" s="32" t="s">
        <v>272</v>
      </c>
      <c r="D150" s="3" t="n">
        <v>2018</v>
      </c>
      <c r="E150" s="20" t="s">
        <v>4</v>
      </c>
      <c r="F150" s="32" t="s">
        <v>51</v>
      </c>
      <c r="G150" s="3" t="s">
        <v>257</v>
      </c>
      <c r="H150" s="3" t="s">
        <v>47</v>
      </c>
      <c r="I150" s="3" t="s">
        <v>114</v>
      </c>
      <c r="J150" s="3" t="s">
        <v>258</v>
      </c>
      <c r="K150" s="3" t="s">
        <v>259</v>
      </c>
      <c r="L150" s="32" t="s">
        <v>108</v>
      </c>
      <c r="M150" s="3" t="s">
        <v>47</v>
      </c>
      <c r="N150" s="3" t="s">
        <v>82</v>
      </c>
      <c r="O150" s="3" t="s">
        <v>260</v>
      </c>
      <c r="P150" s="3" t="s">
        <v>89</v>
      </c>
      <c r="Q150" s="3" t="s">
        <v>56</v>
      </c>
      <c r="R150" s="3" t="s">
        <v>47</v>
      </c>
      <c r="S150" s="3" t="s">
        <v>53</v>
      </c>
      <c r="T150" s="3" t="s">
        <v>53</v>
      </c>
      <c r="U150" s="3" t="s">
        <v>53</v>
      </c>
      <c r="V150" s="4" t="s">
        <v>276</v>
      </c>
      <c r="W150" s="28" t="n">
        <f aca="false">'Industries data'!F17</f>
        <v>1.01926293981331</v>
      </c>
    </row>
    <row r="151" s="30" customFormat="true" ht="157.5" hidden="false" customHeight="false" outlineLevel="0" collapsed="false">
      <c r="A151" s="2"/>
      <c r="B151" s="2" t="s">
        <v>277</v>
      </c>
      <c r="C151" s="32" t="s">
        <v>272</v>
      </c>
      <c r="D151" s="32" t="n">
        <v>2017</v>
      </c>
      <c r="E151" s="20" t="s">
        <v>4</v>
      </c>
      <c r="F151" s="32" t="s">
        <v>51</v>
      </c>
      <c r="G151" s="3" t="s">
        <v>257</v>
      </c>
      <c r="H151" s="3" t="s">
        <v>47</v>
      </c>
      <c r="I151" s="3" t="s">
        <v>114</v>
      </c>
      <c r="J151" s="3" t="s">
        <v>258</v>
      </c>
      <c r="K151" s="3" t="s">
        <v>259</v>
      </c>
      <c r="L151" s="32" t="s">
        <v>108</v>
      </c>
      <c r="M151" s="3" t="s">
        <v>47</v>
      </c>
      <c r="N151" s="3" t="s">
        <v>82</v>
      </c>
      <c r="O151" s="3" t="s">
        <v>260</v>
      </c>
      <c r="P151" s="3" t="s">
        <v>89</v>
      </c>
      <c r="Q151" s="3" t="s">
        <v>56</v>
      </c>
      <c r="R151" s="3" t="s">
        <v>47</v>
      </c>
      <c r="S151" s="3" t="s">
        <v>53</v>
      </c>
      <c r="T151" s="3" t="s">
        <v>53</v>
      </c>
      <c r="U151" s="3" t="s">
        <v>53</v>
      </c>
      <c r="V151" s="4" t="s">
        <v>278</v>
      </c>
      <c r="W151" s="28" t="n">
        <f aca="false">'Industries data'!F18</f>
        <v>1.01624371108665</v>
      </c>
    </row>
    <row r="152" s="30" customFormat="true" ht="157.5" hidden="false" customHeight="false" outlineLevel="0" collapsed="false">
      <c r="A152" s="2"/>
      <c r="B152" s="2" t="s">
        <v>279</v>
      </c>
      <c r="C152" s="32" t="s">
        <v>272</v>
      </c>
      <c r="D152" s="3" t="n">
        <v>2016</v>
      </c>
      <c r="E152" s="20" t="s">
        <v>4</v>
      </c>
      <c r="F152" s="32" t="s">
        <v>51</v>
      </c>
      <c r="G152" s="3" t="s">
        <v>257</v>
      </c>
      <c r="H152" s="3" t="s">
        <v>47</v>
      </c>
      <c r="I152" s="3" t="s">
        <v>114</v>
      </c>
      <c r="J152" s="3" t="s">
        <v>258</v>
      </c>
      <c r="K152" s="3" t="s">
        <v>259</v>
      </c>
      <c r="L152" s="32" t="s">
        <v>108</v>
      </c>
      <c r="M152" s="3" t="s">
        <v>47</v>
      </c>
      <c r="N152" s="3" t="s">
        <v>82</v>
      </c>
      <c r="O152" s="3" t="s">
        <v>260</v>
      </c>
      <c r="P152" s="3" t="s">
        <v>89</v>
      </c>
      <c r="Q152" s="3" t="s">
        <v>56</v>
      </c>
      <c r="R152" s="3" t="s">
        <v>47</v>
      </c>
      <c r="S152" s="3" t="s">
        <v>53</v>
      </c>
      <c r="T152" s="3" t="s">
        <v>53</v>
      </c>
      <c r="U152" s="3" t="s">
        <v>53</v>
      </c>
      <c r="V152" s="4" t="s">
        <v>280</v>
      </c>
      <c r="W152" s="28" t="n">
        <f aca="false">'Industries data'!F19</f>
        <v>1.01710821353944</v>
      </c>
    </row>
    <row r="153" s="30" customFormat="true" ht="157.5" hidden="false" customHeight="false" outlineLevel="0" collapsed="false">
      <c r="A153" s="2"/>
      <c r="B153" s="2" t="s">
        <v>281</v>
      </c>
      <c r="C153" s="32" t="s">
        <v>272</v>
      </c>
      <c r="D153" s="3" t="n">
        <v>2015</v>
      </c>
      <c r="E153" s="20" t="s">
        <v>4</v>
      </c>
      <c r="F153" s="32" t="s">
        <v>51</v>
      </c>
      <c r="G153" s="3" t="s">
        <v>257</v>
      </c>
      <c r="H153" s="3" t="s">
        <v>47</v>
      </c>
      <c r="I153" s="3" t="s">
        <v>114</v>
      </c>
      <c r="J153" s="3" t="s">
        <v>258</v>
      </c>
      <c r="K153" s="3" t="s">
        <v>259</v>
      </c>
      <c r="L153" s="32" t="s">
        <v>108</v>
      </c>
      <c r="M153" s="3" t="s">
        <v>47</v>
      </c>
      <c r="N153" s="3" t="s">
        <v>82</v>
      </c>
      <c r="O153" s="3" t="s">
        <v>260</v>
      </c>
      <c r="P153" s="3" t="s">
        <v>89</v>
      </c>
      <c r="Q153" s="3" t="s">
        <v>56</v>
      </c>
      <c r="R153" s="3" t="s">
        <v>47</v>
      </c>
      <c r="S153" s="3" t="s">
        <v>53</v>
      </c>
      <c r="T153" s="3" t="s">
        <v>53</v>
      </c>
      <c r="U153" s="3" t="s">
        <v>53</v>
      </c>
      <c r="V153" s="4" t="s">
        <v>280</v>
      </c>
      <c r="W153" s="28" t="n">
        <f aca="false">'Industries data'!F20</f>
        <v>0.995348934229653</v>
      </c>
    </row>
    <row r="154" s="30" customFormat="true" ht="141.75" hidden="false" customHeight="false" outlineLevel="0" collapsed="false">
      <c r="A154" s="2"/>
      <c r="B154" s="2" t="s">
        <v>282</v>
      </c>
      <c r="C154" s="32" t="s">
        <v>272</v>
      </c>
      <c r="D154" s="3" t="n">
        <v>2014</v>
      </c>
      <c r="E154" s="20" t="s">
        <v>4</v>
      </c>
      <c r="F154" s="32" t="s">
        <v>51</v>
      </c>
      <c r="G154" s="3" t="s">
        <v>257</v>
      </c>
      <c r="H154" s="3" t="s">
        <v>47</v>
      </c>
      <c r="I154" s="3" t="s">
        <v>114</v>
      </c>
      <c r="J154" s="3" t="s">
        <v>258</v>
      </c>
      <c r="K154" s="3" t="s">
        <v>259</v>
      </c>
      <c r="L154" s="32" t="s">
        <v>108</v>
      </c>
      <c r="M154" s="3" t="s">
        <v>47</v>
      </c>
      <c r="N154" s="3" t="s">
        <v>82</v>
      </c>
      <c r="O154" s="3" t="s">
        <v>260</v>
      </c>
      <c r="P154" s="3" t="s">
        <v>89</v>
      </c>
      <c r="Q154" s="3" t="s">
        <v>56</v>
      </c>
      <c r="R154" s="3" t="s">
        <v>47</v>
      </c>
      <c r="S154" s="3" t="s">
        <v>53</v>
      </c>
      <c r="T154" s="3" t="s">
        <v>53</v>
      </c>
      <c r="U154" s="3" t="s">
        <v>53</v>
      </c>
      <c r="V154" s="4" t="s">
        <v>283</v>
      </c>
      <c r="W154" s="28" t="n">
        <f aca="false">'Industries data'!F21</f>
        <v>1.06499049790324</v>
      </c>
    </row>
    <row r="155" s="30" customFormat="true" ht="141.75" hidden="false" customHeight="false" outlineLevel="0" collapsed="false">
      <c r="A155" s="2"/>
      <c r="B155" s="2" t="s">
        <v>284</v>
      </c>
      <c r="C155" s="32" t="s">
        <v>272</v>
      </c>
      <c r="D155" s="3" t="n">
        <v>2013</v>
      </c>
      <c r="E155" s="20" t="s">
        <v>4</v>
      </c>
      <c r="F155" s="32" t="s">
        <v>51</v>
      </c>
      <c r="G155" s="3" t="s">
        <v>257</v>
      </c>
      <c r="H155" s="3" t="s">
        <v>47</v>
      </c>
      <c r="I155" s="3" t="s">
        <v>114</v>
      </c>
      <c r="J155" s="3" t="s">
        <v>258</v>
      </c>
      <c r="K155" s="3" t="s">
        <v>259</v>
      </c>
      <c r="L155" s="32" t="s">
        <v>108</v>
      </c>
      <c r="M155" s="3" t="s">
        <v>47</v>
      </c>
      <c r="N155" s="3" t="s">
        <v>82</v>
      </c>
      <c r="O155" s="3" t="s">
        <v>260</v>
      </c>
      <c r="P155" s="3" t="s">
        <v>89</v>
      </c>
      <c r="Q155" s="3" t="s">
        <v>56</v>
      </c>
      <c r="R155" s="3" t="s">
        <v>47</v>
      </c>
      <c r="S155" s="3" t="s">
        <v>53</v>
      </c>
      <c r="T155" s="3" t="s">
        <v>53</v>
      </c>
      <c r="U155" s="3" t="s">
        <v>53</v>
      </c>
      <c r="V155" s="4" t="s">
        <v>283</v>
      </c>
      <c r="W155" s="28" t="n">
        <f aca="false">'Industries data'!F22</f>
        <v>0.916259540669126</v>
      </c>
    </row>
    <row r="156" s="30" customFormat="true" ht="141.75" hidden="false" customHeight="false" outlineLevel="0" collapsed="false">
      <c r="A156" s="2"/>
      <c r="B156" s="2" t="s">
        <v>285</v>
      </c>
      <c r="C156" s="32" t="s">
        <v>272</v>
      </c>
      <c r="D156" s="3" t="n">
        <v>2012</v>
      </c>
      <c r="E156" s="20" t="s">
        <v>4</v>
      </c>
      <c r="F156" s="32" t="s">
        <v>51</v>
      </c>
      <c r="G156" s="3" t="s">
        <v>257</v>
      </c>
      <c r="H156" s="3" t="s">
        <v>47</v>
      </c>
      <c r="I156" s="3" t="s">
        <v>114</v>
      </c>
      <c r="J156" s="3" t="s">
        <v>258</v>
      </c>
      <c r="K156" s="3" t="s">
        <v>259</v>
      </c>
      <c r="L156" s="32" t="s">
        <v>108</v>
      </c>
      <c r="M156" s="3" t="s">
        <v>47</v>
      </c>
      <c r="N156" s="3" t="s">
        <v>82</v>
      </c>
      <c r="O156" s="3" t="s">
        <v>260</v>
      </c>
      <c r="P156" s="3" t="s">
        <v>89</v>
      </c>
      <c r="Q156" s="3" t="s">
        <v>56</v>
      </c>
      <c r="R156" s="3" t="s">
        <v>47</v>
      </c>
      <c r="S156" s="3" t="s">
        <v>53</v>
      </c>
      <c r="T156" s="3" t="s">
        <v>53</v>
      </c>
      <c r="U156" s="3" t="s">
        <v>53</v>
      </c>
      <c r="V156" s="4" t="s">
        <v>286</v>
      </c>
      <c r="W156" s="28" t="n">
        <f aca="false">'Industries data'!F23</f>
        <v>0.862336965394389</v>
      </c>
    </row>
    <row r="157" s="30" customFormat="true" ht="141.75" hidden="false" customHeight="false" outlineLevel="0" collapsed="false">
      <c r="A157" s="2"/>
      <c r="B157" s="2" t="s">
        <v>287</v>
      </c>
      <c r="C157" s="32" t="s">
        <v>272</v>
      </c>
      <c r="D157" s="3" t="n">
        <v>2011</v>
      </c>
      <c r="E157" s="20" t="s">
        <v>4</v>
      </c>
      <c r="F157" s="32" t="s">
        <v>51</v>
      </c>
      <c r="G157" s="3" t="s">
        <v>257</v>
      </c>
      <c r="H157" s="3" t="s">
        <v>47</v>
      </c>
      <c r="I157" s="3" t="s">
        <v>114</v>
      </c>
      <c r="J157" s="3" t="s">
        <v>258</v>
      </c>
      <c r="K157" s="3" t="s">
        <v>259</v>
      </c>
      <c r="L157" s="32" t="s">
        <v>108</v>
      </c>
      <c r="M157" s="3" t="s">
        <v>47</v>
      </c>
      <c r="N157" s="3" t="s">
        <v>82</v>
      </c>
      <c r="O157" s="3" t="s">
        <v>260</v>
      </c>
      <c r="P157" s="3" t="s">
        <v>89</v>
      </c>
      <c r="Q157" s="3" t="s">
        <v>56</v>
      </c>
      <c r="R157" s="3" t="s">
        <v>47</v>
      </c>
      <c r="S157" s="3" t="s">
        <v>53</v>
      </c>
      <c r="T157" s="3" t="s">
        <v>53</v>
      </c>
      <c r="U157" s="3" t="s">
        <v>53</v>
      </c>
      <c r="V157" s="4" t="s">
        <v>286</v>
      </c>
      <c r="W157" s="28" t="n">
        <f aca="false">'Industries data'!F24</f>
        <v>0.833516113792945</v>
      </c>
    </row>
    <row r="158" s="30" customFormat="true" ht="141.75" hidden="false" customHeight="false" outlineLevel="0" collapsed="false">
      <c r="A158" s="2"/>
      <c r="B158" s="2" t="s">
        <v>288</v>
      </c>
      <c r="C158" s="32" t="s">
        <v>272</v>
      </c>
      <c r="D158" s="3" t="n">
        <v>2010</v>
      </c>
      <c r="E158" s="20" t="s">
        <v>4</v>
      </c>
      <c r="F158" s="32" t="s">
        <v>51</v>
      </c>
      <c r="G158" s="3" t="s">
        <v>257</v>
      </c>
      <c r="H158" s="3" t="s">
        <v>47</v>
      </c>
      <c r="I158" s="3" t="s">
        <v>114</v>
      </c>
      <c r="J158" s="3" t="s">
        <v>258</v>
      </c>
      <c r="K158" s="3" t="s">
        <v>259</v>
      </c>
      <c r="L158" s="32" t="s">
        <v>108</v>
      </c>
      <c r="M158" s="3" t="s">
        <v>47</v>
      </c>
      <c r="N158" s="3" t="s">
        <v>82</v>
      </c>
      <c r="O158" s="3" t="s">
        <v>260</v>
      </c>
      <c r="P158" s="3" t="s">
        <v>89</v>
      </c>
      <c r="Q158" s="3" t="s">
        <v>56</v>
      </c>
      <c r="R158" s="3" t="s">
        <v>47</v>
      </c>
      <c r="S158" s="3" t="s">
        <v>53</v>
      </c>
      <c r="T158" s="3" t="s">
        <v>53</v>
      </c>
      <c r="U158" s="3" t="s">
        <v>53</v>
      </c>
      <c r="V158" s="4" t="s">
        <v>289</v>
      </c>
      <c r="W158" s="28" t="n">
        <f aca="false">'Industries data'!F25</f>
        <v>0.887962859759968</v>
      </c>
    </row>
    <row r="159" s="47" customFormat="true" ht="15.75" hidden="false" customHeight="false" outlineLevel="0" collapsed="false">
      <c r="A159" s="40"/>
      <c r="B159" s="40"/>
      <c r="C159" s="41" t="s">
        <v>169</v>
      </c>
      <c r="D159" s="42"/>
      <c r="E159" s="43"/>
      <c r="F159" s="41" t="s">
        <v>169</v>
      </c>
      <c r="G159" s="42"/>
      <c r="H159" s="42"/>
      <c r="I159" s="42"/>
      <c r="J159" s="42"/>
      <c r="K159" s="42"/>
      <c r="L159" s="41"/>
      <c r="M159" s="42"/>
      <c r="N159" s="42"/>
      <c r="O159" s="42"/>
      <c r="P159" s="42"/>
      <c r="Q159" s="42"/>
      <c r="R159" s="42"/>
      <c r="S159" s="42"/>
      <c r="T159" s="42"/>
      <c r="U159" s="42"/>
      <c r="V159" s="44"/>
      <c r="W159" s="45"/>
      <c r="X159" s="46"/>
      <c r="Y159" s="46"/>
      <c r="Z159" s="40"/>
      <c r="AA159" s="40"/>
      <c r="AB159" s="40"/>
      <c r="AC159" s="40"/>
      <c r="AD159" s="40"/>
      <c r="AE159" s="40"/>
      <c r="AF159" s="40"/>
      <c r="AG159" s="40"/>
    </row>
    <row r="160" s="30" customFormat="true" ht="141.75" hidden="false" customHeight="false" outlineLevel="0" collapsed="false">
      <c r="A160" s="2"/>
      <c r="B160" s="2" t="s">
        <v>290</v>
      </c>
      <c r="C160" s="3" t="s">
        <v>291</v>
      </c>
      <c r="D160" s="3" t="n">
        <v>2020</v>
      </c>
      <c r="E160" s="20" t="s">
        <v>4</v>
      </c>
      <c r="F160" s="3" t="s">
        <v>51</v>
      </c>
      <c r="G160" s="3" t="s">
        <v>257</v>
      </c>
      <c r="H160" s="3" t="s">
        <v>47</v>
      </c>
      <c r="I160" s="3" t="s">
        <v>114</v>
      </c>
      <c r="J160" s="3" t="s">
        <v>58</v>
      </c>
      <c r="K160" s="3" t="s">
        <v>258</v>
      </c>
      <c r="L160" s="32" t="s">
        <v>108</v>
      </c>
      <c r="M160" s="3" t="s">
        <v>47</v>
      </c>
      <c r="N160" s="3" t="s">
        <v>82</v>
      </c>
      <c r="O160" s="3" t="s">
        <v>292</v>
      </c>
      <c r="P160" s="3" t="s">
        <v>89</v>
      </c>
      <c r="Q160" s="3" t="s">
        <v>56</v>
      </c>
      <c r="R160" s="3" t="s">
        <v>47</v>
      </c>
      <c r="S160" s="3" t="s">
        <v>53</v>
      </c>
      <c r="T160" s="3" t="s">
        <v>53</v>
      </c>
      <c r="U160" s="3" t="s">
        <v>53</v>
      </c>
      <c r="V160" s="4" t="s">
        <v>293</v>
      </c>
      <c r="W160" s="28" t="n">
        <f aca="false">'Industries data'!F27</f>
        <v>0.594509750426473</v>
      </c>
    </row>
    <row r="161" s="30" customFormat="true" ht="141.75" hidden="false" customHeight="false" outlineLevel="0" collapsed="false">
      <c r="A161" s="2"/>
      <c r="B161" s="2" t="s">
        <v>294</v>
      </c>
      <c r="C161" s="3" t="s">
        <v>291</v>
      </c>
      <c r="D161" s="3" t="n">
        <v>2019</v>
      </c>
      <c r="E161" s="20" t="s">
        <v>4</v>
      </c>
      <c r="F161" s="3" t="s">
        <v>51</v>
      </c>
      <c r="G161" s="3" t="s">
        <v>257</v>
      </c>
      <c r="H161" s="3" t="s">
        <v>47</v>
      </c>
      <c r="I161" s="3" t="s">
        <v>114</v>
      </c>
      <c r="J161" s="3" t="s">
        <v>58</v>
      </c>
      <c r="K161" s="3" t="s">
        <v>258</v>
      </c>
      <c r="L161" s="32" t="s">
        <v>108</v>
      </c>
      <c r="M161" s="3" t="s">
        <v>47</v>
      </c>
      <c r="N161" s="3" t="s">
        <v>82</v>
      </c>
      <c r="O161" s="3" t="s">
        <v>292</v>
      </c>
      <c r="P161" s="3" t="s">
        <v>89</v>
      </c>
      <c r="Q161" s="3" t="s">
        <v>56</v>
      </c>
      <c r="R161" s="3" t="s">
        <v>47</v>
      </c>
      <c r="S161" s="3" t="s">
        <v>53</v>
      </c>
      <c r="T161" s="3" t="s">
        <v>53</v>
      </c>
      <c r="U161" s="3" t="s">
        <v>53</v>
      </c>
      <c r="V161" s="4" t="s">
        <v>293</v>
      </c>
      <c r="W161" s="28" t="n">
        <f aca="false">'Industries data'!F28</f>
        <v>0.656152718989242</v>
      </c>
    </row>
    <row r="162" s="30" customFormat="true" ht="141.75" hidden="false" customHeight="false" outlineLevel="0" collapsed="false">
      <c r="A162" s="2"/>
      <c r="B162" s="2" t="s">
        <v>295</v>
      </c>
      <c r="C162" s="3" t="s">
        <v>291</v>
      </c>
      <c r="D162" s="3" t="n">
        <v>2018</v>
      </c>
      <c r="E162" s="20" t="s">
        <v>4</v>
      </c>
      <c r="F162" s="3" t="s">
        <v>51</v>
      </c>
      <c r="G162" s="3" t="s">
        <v>257</v>
      </c>
      <c r="H162" s="3" t="s">
        <v>47</v>
      </c>
      <c r="I162" s="3" t="s">
        <v>114</v>
      </c>
      <c r="J162" s="3" t="s">
        <v>58</v>
      </c>
      <c r="K162" s="3" t="s">
        <v>258</v>
      </c>
      <c r="L162" s="32" t="s">
        <v>108</v>
      </c>
      <c r="M162" s="3" t="s">
        <v>47</v>
      </c>
      <c r="N162" s="3" t="s">
        <v>82</v>
      </c>
      <c r="O162" s="3" t="s">
        <v>292</v>
      </c>
      <c r="P162" s="3" t="s">
        <v>89</v>
      </c>
      <c r="Q162" s="3" t="s">
        <v>56</v>
      </c>
      <c r="R162" s="3" t="s">
        <v>47</v>
      </c>
      <c r="S162" s="3" t="s">
        <v>53</v>
      </c>
      <c r="T162" s="3" t="s">
        <v>53</v>
      </c>
      <c r="U162" s="3" t="s">
        <v>53</v>
      </c>
      <c r="V162" s="4" t="s">
        <v>293</v>
      </c>
      <c r="W162" s="28" t="n">
        <f aca="false">'Industries data'!F29</f>
        <v>0.722134435076647</v>
      </c>
    </row>
    <row r="163" s="30" customFormat="true" ht="141.75" hidden="false" customHeight="false" outlineLevel="0" collapsed="false">
      <c r="A163" s="2"/>
      <c r="B163" s="2" t="s">
        <v>296</v>
      </c>
      <c r="C163" s="3" t="s">
        <v>291</v>
      </c>
      <c r="D163" s="3" t="n">
        <v>2017</v>
      </c>
      <c r="E163" s="20" t="s">
        <v>4</v>
      </c>
      <c r="F163" s="3" t="s">
        <v>51</v>
      </c>
      <c r="G163" s="3" t="s">
        <v>257</v>
      </c>
      <c r="H163" s="3" t="s">
        <v>47</v>
      </c>
      <c r="I163" s="3" t="s">
        <v>114</v>
      </c>
      <c r="J163" s="3" t="s">
        <v>58</v>
      </c>
      <c r="K163" s="3" t="s">
        <v>258</v>
      </c>
      <c r="L163" s="32" t="s">
        <v>108</v>
      </c>
      <c r="M163" s="3" t="s">
        <v>47</v>
      </c>
      <c r="N163" s="3" t="s">
        <v>82</v>
      </c>
      <c r="O163" s="3" t="s">
        <v>292</v>
      </c>
      <c r="P163" s="3" t="s">
        <v>89</v>
      </c>
      <c r="Q163" s="3" t="s">
        <v>56</v>
      </c>
      <c r="R163" s="3" t="s">
        <v>47</v>
      </c>
      <c r="S163" s="3" t="s">
        <v>53</v>
      </c>
      <c r="T163" s="3" t="s">
        <v>53</v>
      </c>
      <c r="U163" s="3" t="s">
        <v>53</v>
      </c>
      <c r="V163" s="4" t="s">
        <v>293</v>
      </c>
      <c r="W163" s="28" t="n">
        <f aca="false">'Industries data'!F30</f>
        <v>0.735086952097313</v>
      </c>
    </row>
    <row r="164" s="30" customFormat="true" ht="141.75" hidden="false" customHeight="false" outlineLevel="0" collapsed="false">
      <c r="A164" s="2"/>
      <c r="B164" s="2" t="s">
        <v>297</v>
      </c>
      <c r="C164" s="3" t="s">
        <v>291</v>
      </c>
      <c r="D164" s="3" t="n">
        <v>2016</v>
      </c>
      <c r="E164" s="20" t="s">
        <v>4</v>
      </c>
      <c r="F164" s="3" t="s">
        <v>51</v>
      </c>
      <c r="G164" s="3" t="s">
        <v>257</v>
      </c>
      <c r="H164" s="3" t="s">
        <v>47</v>
      </c>
      <c r="I164" s="3" t="s">
        <v>114</v>
      </c>
      <c r="J164" s="3" t="s">
        <v>58</v>
      </c>
      <c r="K164" s="3" t="s">
        <v>258</v>
      </c>
      <c r="L164" s="32" t="s">
        <v>108</v>
      </c>
      <c r="M164" s="3" t="s">
        <v>47</v>
      </c>
      <c r="N164" s="3" t="s">
        <v>82</v>
      </c>
      <c r="O164" s="3" t="s">
        <v>292</v>
      </c>
      <c r="P164" s="3" t="s">
        <v>89</v>
      </c>
      <c r="Q164" s="3" t="s">
        <v>56</v>
      </c>
      <c r="R164" s="3" t="s">
        <v>47</v>
      </c>
      <c r="S164" s="3" t="s">
        <v>53</v>
      </c>
      <c r="T164" s="3" t="s">
        <v>53</v>
      </c>
      <c r="U164" s="3" t="s">
        <v>53</v>
      </c>
      <c r="V164" s="4" t="s">
        <v>293</v>
      </c>
      <c r="W164" s="28" t="n">
        <f aca="false">'Industries data'!F31</f>
        <v>0.803285835910519</v>
      </c>
    </row>
    <row r="165" s="30" customFormat="true" ht="141.75" hidden="false" customHeight="false" outlineLevel="0" collapsed="false">
      <c r="A165" s="2"/>
      <c r="B165" s="2" t="s">
        <v>298</v>
      </c>
      <c r="C165" s="3" t="s">
        <v>291</v>
      </c>
      <c r="D165" s="3" t="n">
        <v>2015</v>
      </c>
      <c r="E165" s="20" t="s">
        <v>4</v>
      </c>
      <c r="F165" s="3" t="s">
        <v>51</v>
      </c>
      <c r="G165" s="3" t="s">
        <v>257</v>
      </c>
      <c r="H165" s="3" t="s">
        <v>47</v>
      </c>
      <c r="I165" s="3" t="s">
        <v>114</v>
      </c>
      <c r="J165" s="3" t="s">
        <v>58</v>
      </c>
      <c r="K165" s="3" t="s">
        <v>258</v>
      </c>
      <c r="L165" s="32" t="s">
        <v>108</v>
      </c>
      <c r="M165" s="3" t="s">
        <v>47</v>
      </c>
      <c r="N165" s="3" t="s">
        <v>82</v>
      </c>
      <c r="O165" s="3" t="s">
        <v>292</v>
      </c>
      <c r="P165" s="3" t="s">
        <v>89</v>
      </c>
      <c r="Q165" s="3" t="s">
        <v>56</v>
      </c>
      <c r="R165" s="3" t="s">
        <v>47</v>
      </c>
      <c r="S165" s="3" t="s">
        <v>53</v>
      </c>
      <c r="T165" s="3" t="s">
        <v>53</v>
      </c>
      <c r="U165" s="3" t="s">
        <v>53</v>
      </c>
      <c r="V165" s="4" t="s">
        <v>293</v>
      </c>
      <c r="W165" s="28" t="n">
        <f aca="false">'Industries data'!F32</f>
        <v>0.803670006123754</v>
      </c>
    </row>
    <row r="166" s="30" customFormat="true" ht="141.75" hidden="false" customHeight="false" outlineLevel="0" collapsed="false">
      <c r="A166" s="2"/>
      <c r="B166" s="2" t="s">
        <v>299</v>
      </c>
      <c r="C166" s="3" t="s">
        <v>291</v>
      </c>
      <c r="D166" s="3" t="n">
        <v>2014</v>
      </c>
      <c r="E166" s="20" t="s">
        <v>4</v>
      </c>
      <c r="F166" s="3" t="s">
        <v>51</v>
      </c>
      <c r="G166" s="3" t="s">
        <v>257</v>
      </c>
      <c r="H166" s="3" t="s">
        <v>47</v>
      </c>
      <c r="I166" s="3" t="s">
        <v>114</v>
      </c>
      <c r="J166" s="3" t="s">
        <v>58</v>
      </c>
      <c r="K166" s="3" t="s">
        <v>258</v>
      </c>
      <c r="L166" s="32" t="s">
        <v>108</v>
      </c>
      <c r="M166" s="3" t="s">
        <v>47</v>
      </c>
      <c r="N166" s="3" t="s">
        <v>82</v>
      </c>
      <c r="O166" s="3" t="s">
        <v>292</v>
      </c>
      <c r="P166" s="3" t="s">
        <v>89</v>
      </c>
      <c r="Q166" s="3" t="s">
        <v>56</v>
      </c>
      <c r="R166" s="3" t="s">
        <v>47</v>
      </c>
      <c r="S166" s="3" t="s">
        <v>53</v>
      </c>
      <c r="T166" s="3" t="s">
        <v>53</v>
      </c>
      <c r="U166" s="3" t="s">
        <v>53</v>
      </c>
      <c r="V166" s="4" t="s">
        <v>293</v>
      </c>
      <c r="W166" s="28" t="n">
        <f aca="false">'Industries data'!F33</f>
        <v>0.856030061665553</v>
      </c>
    </row>
    <row r="167" s="30" customFormat="true" ht="141.75" hidden="false" customHeight="false" outlineLevel="0" collapsed="false">
      <c r="A167" s="2"/>
      <c r="B167" s="2" t="s">
        <v>300</v>
      </c>
      <c r="C167" s="3" t="s">
        <v>291</v>
      </c>
      <c r="D167" s="3" t="n">
        <v>2013</v>
      </c>
      <c r="E167" s="20" t="s">
        <v>4</v>
      </c>
      <c r="F167" s="3" t="s">
        <v>51</v>
      </c>
      <c r="G167" s="3" t="s">
        <v>257</v>
      </c>
      <c r="H167" s="3" t="s">
        <v>47</v>
      </c>
      <c r="I167" s="3" t="s">
        <v>114</v>
      </c>
      <c r="J167" s="3" t="s">
        <v>58</v>
      </c>
      <c r="K167" s="3" t="s">
        <v>258</v>
      </c>
      <c r="L167" s="32" t="s">
        <v>108</v>
      </c>
      <c r="M167" s="3" t="s">
        <v>47</v>
      </c>
      <c r="N167" s="3" t="s">
        <v>82</v>
      </c>
      <c r="O167" s="3" t="s">
        <v>292</v>
      </c>
      <c r="P167" s="3" t="s">
        <v>89</v>
      </c>
      <c r="Q167" s="3" t="s">
        <v>56</v>
      </c>
      <c r="R167" s="3" t="s">
        <v>47</v>
      </c>
      <c r="S167" s="3" t="s">
        <v>53</v>
      </c>
      <c r="T167" s="3" t="s">
        <v>53</v>
      </c>
      <c r="U167" s="3" t="s">
        <v>53</v>
      </c>
      <c r="V167" s="4" t="s">
        <v>293</v>
      </c>
      <c r="W167" s="28" t="n">
        <f aca="false">'Industries data'!F34</f>
        <v>0.828091842794379</v>
      </c>
    </row>
    <row r="168" s="30" customFormat="true" ht="141.75" hidden="false" customHeight="false" outlineLevel="0" collapsed="false">
      <c r="A168" s="2"/>
      <c r="B168" s="2" t="s">
        <v>301</v>
      </c>
      <c r="C168" s="3" t="s">
        <v>291</v>
      </c>
      <c r="D168" s="3" t="n">
        <v>2012</v>
      </c>
      <c r="E168" s="20" t="s">
        <v>4</v>
      </c>
      <c r="F168" s="3" t="s">
        <v>51</v>
      </c>
      <c r="G168" s="3" t="s">
        <v>257</v>
      </c>
      <c r="H168" s="3" t="s">
        <v>47</v>
      </c>
      <c r="I168" s="3" t="s">
        <v>114</v>
      </c>
      <c r="J168" s="3" t="s">
        <v>58</v>
      </c>
      <c r="K168" s="3" t="s">
        <v>258</v>
      </c>
      <c r="L168" s="32" t="s">
        <v>108</v>
      </c>
      <c r="M168" s="3" t="s">
        <v>47</v>
      </c>
      <c r="N168" s="3" t="s">
        <v>82</v>
      </c>
      <c r="O168" s="3" t="s">
        <v>292</v>
      </c>
      <c r="P168" s="3" t="s">
        <v>89</v>
      </c>
      <c r="Q168" s="3" t="s">
        <v>56</v>
      </c>
      <c r="R168" s="3" t="s">
        <v>47</v>
      </c>
      <c r="S168" s="3" t="s">
        <v>53</v>
      </c>
      <c r="T168" s="3" t="s">
        <v>53</v>
      </c>
      <c r="U168" s="3" t="s">
        <v>53</v>
      </c>
      <c r="V168" s="4" t="s">
        <v>293</v>
      </c>
      <c r="W168" s="28" t="n">
        <f aca="false">'Industries data'!F35</f>
        <v>0.945908220279265</v>
      </c>
    </row>
    <row r="169" s="30" customFormat="true" ht="141.75" hidden="false" customHeight="false" outlineLevel="0" collapsed="false">
      <c r="A169" s="2"/>
      <c r="B169" s="2" t="s">
        <v>302</v>
      </c>
      <c r="C169" s="3" t="s">
        <v>291</v>
      </c>
      <c r="D169" s="3" t="n">
        <v>2011</v>
      </c>
      <c r="E169" s="20" t="s">
        <v>4</v>
      </c>
      <c r="F169" s="3" t="s">
        <v>51</v>
      </c>
      <c r="G169" s="3" t="s">
        <v>257</v>
      </c>
      <c r="H169" s="3" t="s">
        <v>47</v>
      </c>
      <c r="I169" s="3" t="s">
        <v>114</v>
      </c>
      <c r="J169" s="3" t="s">
        <v>58</v>
      </c>
      <c r="K169" s="3" t="s">
        <v>258</v>
      </c>
      <c r="L169" s="32" t="s">
        <v>108</v>
      </c>
      <c r="M169" s="3" t="s">
        <v>47</v>
      </c>
      <c r="N169" s="3" t="s">
        <v>82</v>
      </c>
      <c r="O169" s="3" t="s">
        <v>292</v>
      </c>
      <c r="P169" s="3" t="s">
        <v>89</v>
      </c>
      <c r="Q169" s="3" t="s">
        <v>56</v>
      </c>
      <c r="R169" s="3" t="s">
        <v>47</v>
      </c>
      <c r="S169" s="3" t="s">
        <v>53</v>
      </c>
      <c r="T169" s="3" t="s">
        <v>53</v>
      </c>
      <c r="U169" s="3" t="s">
        <v>53</v>
      </c>
      <c r="V169" s="4" t="s">
        <v>293</v>
      </c>
      <c r="W169" s="28" t="n">
        <f aca="false">'Industries data'!F36</f>
        <v>0.993417418364967</v>
      </c>
    </row>
    <row r="170" s="47" customFormat="true" ht="15.75" hidden="false" customHeight="false" outlineLevel="0" collapsed="false">
      <c r="A170" s="40"/>
      <c r="B170" s="40"/>
      <c r="C170" s="41" t="s">
        <v>169</v>
      </c>
      <c r="D170" s="42"/>
      <c r="E170" s="43"/>
      <c r="F170" s="41" t="s">
        <v>169</v>
      </c>
      <c r="G170" s="42"/>
      <c r="H170" s="42"/>
      <c r="I170" s="42"/>
      <c r="J170" s="42"/>
      <c r="K170" s="42"/>
      <c r="L170" s="41"/>
      <c r="M170" s="42"/>
      <c r="N170" s="42"/>
      <c r="O170" s="42"/>
      <c r="P170" s="42"/>
      <c r="Q170" s="42"/>
      <c r="R170" s="42"/>
      <c r="S170" s="42"/>
      <c r="T170" s="42"/>
      <c r="U170" s="42"/>
      <c r="V170" s="44"/>
      <c r="W170" s="45"/>
      <c r="X170" s="46"/>
      <c r="Y170" s="46"/>
      <c r="Z170" s="40"/>
      <c r="AA170" s="40"/>
      <c r="AB170" s="40"/>
      <c r="AC170" s="40"/>
      <c r="AD170" s="40"/>
      <c r="AE170" s="40"/>
      <c r="AF170" s="40"/>
      <c r="AG170" s="40"/>
    </row>
    <row r="171" s="30" customFormat="true" ht="141.75" hidden="false" customHeight="false" outlineLevel="0" collapsed="false">
      <c r="A171" s="2"/>
      <c r="B171" s="2" t="s">
        <v>303</v>
      </c>
      <c r="C171" s="3" t="s">
        <v>303</v>
      </c>
      <c r="D171" s="3" t="n">
        <v>2020</v>
      </c>
      <c r="E171" s="20" t="s">
        <v>304</v>
      </c>
      <c r="F171" s="3" t="s">
        <v>51</v>
      </c>
      <c r="G171" s="3" t="s">
        <v>257</v>
      </c>
      <c r="H171" s="3" t="s">
        <v>47</v>
      </c>
      <c r="I171" s="3" t="s">
        <v>114</v>
      </c>
      <c r="J171" s="3" t="s">
        <v>258</v>
      </c>
      <c r="K171" s="3" t="s">
        <v>259</v>
      </c>
      <c r="L171" s="32" t="s">
        <v>108</v>
      </c>
      <c r="M171" s="3" t="s">
        <v>47</v>
      </c>
      <c r="N171" s="3" t="s">
        <v>82</v>
      </c>
      <c r="O171" s="3" t="s">
        <v>260</v>
      </c>
      <c r="P171" s="3" t="s">
        <v>89</v>
      </c>
      <c r="Q171" s="3" t="s">
        <v>56</v>
      </c>
      <c r="R171" s="3" t="s">
        <v>47</v>
      </c>
      <c r="S171" s="3" t="s">
        <v>53</v>
      </c>
      <c r="T171" s="3" t="s">
        <v>53</v>
      </c>
      <c r="U171" s="3" t="s">
        <v>53</v>
      </c>
      <c r="V171" s="4" t="s">
        <v>305</v>
      </c>
      <c r="W171" s="28" t="n">
        <f aca="false">'Industries data'!F38</f>
        <v>1.18934597804023</v>
      </c>
    </row>
    <row r="172" s="30" customFormat="true" ht="141.75" hidden="false" customHeight="false" outlineLevel="0" collapsed="false">
      <c r="A172" s="2"/>
      <c r="B172" s="2" t="s">
        <v>303</v>
      </c>
      <c r="C172" s="3" t="s">
        <v>303</v>
      </c>
      <c r="D172" s="3" t="n">
        <v>2019</v>
      </c>
      <c r="E172" s="20" t="s">
        <v>306</v>
      </c>
      <c r="F172" s="3" t="s">
        <v>51</v>
      </c>
      <c r="G172" s="3" t="s">
        <v>257</v>
      </c>
      <c r="H172" s="3" t="s">
        <v>47</v>
      </c>
      <c r="I172" s="3" t="s">
        <v>114</v>
      </c>
      <c r="J172" s="3" t="s">
        <v>258</v>
      </c>
      <c r="K172" s="3" t="s">
        <v>259</v>
      </c>
      <c r="L172" s="32" t="s">
        <v>108</v>
      </c>
      <c r="M172" s="3" t="s">
        <v>47</v>
      </c>
      <c r="N172" s="3" t="s">
        <v>82</v>
      </c>
      <c r="O172" s="3" t="s">
        <v>260</v>
      </c>
      <c r="P172" s="3" t="s">
        <v>89</v>
      </c>
      <c r="Q172" s="3" t="s">
        <v>56</v>
      </c>
      <c r="R172" s="3" t="s">
        <v>47</v>
      </c>
      <c r="S172" s="3" t="s">
        <v>53</v>
      </c>
      <c r="T172" s="3" t="s">
        <v>53</v>
      </c>
      <c r="U172" s="3" t="s">
        <v>53</v>
      </c>
      <c r="V172" s="4" t="s">
        <v>305</v>
      </c>
      <c r="W172" s="28" t="n">
        <f aca="false">'Industries data'!F39</f>
        <v>1.09047617765695</v>
      </c>
    </row>
    <row r="173" s="30" customFormat="true" ht="141.75" hidden="false" customHeight="false" outlineLevel="0" collapsed="false">
      <c r="A173" s="2"/>
      <c r="B173" s="2" t="s">
        <v>303</v>
      </c>
      <c r="C173" s="3" t="s">
        <v>303</v>
      </c>
      <c r="D173" s="3" t="n">
        <v>2018</v>
      </c>
      <c r="E173" s="20" t="s">
        <v>307</v>
      </c>
      <c r="F173" s="3" t="s">
        <v>51</v>
      </c>
      <c r="G173" s="3" t="s">
        <v>257</v>
      </c>
      <c r="H173" s="3" t="s">
        <v>47</v>
      </c>
      <c r="I173" s="3" t="s">
        <v>114</v>
      </c>
      <c r="J173" s="3" t="s">
        <v>258</v>
      </c>
      <c r="K173" s="3" t="s">
        <v>259</v>
      </c>
      <c r="L173" s="32" t="s">
        <v>108</v>
      </c>
      <c r="M173" s="3" t="s">
        <v>47</v>
      </c>
      <c r="N173" s="3" t="s">
        <v>82</v>
      </c>
      <c r="O173" s="3" t="s">
        <v>260</v>
      </c>
      <c r="P173" s="3" t="s">
        <v>89</v>
      </c>
      <c r="Q173" s="3" t="s">
        <v>56</v>
      </c>
      <c r="R173" s="3" t="s">
        <v>47</v>
      </c>
      <c r="S173" s="3" t="s">
        <v>53</v>
      </c>
      <c r="T173" s="3" t="s">
        <v>53</v>
      </c>
      <c r="U173" s="3" t="s">
        <v>53</v>
      </c>
      <c r="V173" s="4" t="s">
        <v>308</v>
      </c>
      <c r="W173" s="28" t="n">
        <f aca="false">'Industries data'!F40</f>
        <v>1.17617985701481</v>
      </c>
    </row>
    <row r="174" s="30" customFormat="true" ht="141.75" hidden="false" customHeight="false" outlineLevel="0" collapsed="false">
      <c r="A174" s="2"/>
      <c r="B174" s="2" t="s">
        <v>303</v>
      </c>
      <c r="C174" s="3" t="s">
        <v>303</v>
      </c>
      <c r="D174" s="3" t="n">
        <v>2017</v>
      </c>
      <c r="E174" s="20" t="s">
        <v>309</v>
      </c>
      <c r="F174" s="3" t="s">
        <v>51</v>
      </c>
      <c r="G174" s="3" t="s">
        <v>257</v>
      </c>
      <c r="H174" s="3" t="s">
        <v>47</v>
      </c>
      <c r="I174" s="3" t="s">
        <v>114</v>
      </c>
      <c r="J174" s="3" t="s">
        <v>258</v>
      </c>
      <c r="K174" s="3" t="s">
        <v>259</v>
      </c>
      <c r="L174" s="32" t="s">
        <v>108</v>
      </c>
      <c r="M174" s="3" t="s">
        <v>47</v>
      </c>
      <c r="N174" s="3" t="s">
        <v>82</v>
      </c>
      <c r="O174" s="3" t="s">
        <v>260</v>
      </c>
      <c r="P174" s="3" t="s">
        <v>89</v>
      </c>
      <c r="Q174" s="3" t="s">
        <v>56</v>
      </c>
      <c r="R174" s="3" t="s">
        <v>47</v>
      </c>
      <c r="S174" s="3" t="s">
        <v>53</v>
      </c>
      <c r="T174" s="3" t="s">
        <v>53</v>
      </c>
      <c r="U174" s="3" t="s">
        <v>53</v>
      </c>
      <c r="V174" s="4" t="s">
        <v>308</v>
      </c>
      <c r="W174" s="28" t="n">
        <f aca="false">'Industries data'!F41</f>
        <v>1.3262255357303</v>
      </c>
    </row>
    <row r="175" s="30" customFormat="true" ht="141.75" hidden="false" customHeight="false" outlineLevel="0" collapsed="false">
      <c r="A175" s="2"/>
      <c r="B175" s="2" t="s">
        <v>303</v>
      </c>
      <c r="C175" s="3" t="s">
        <v>303</v>
      </c>
      <c r="D175" s="3" t="n">
        <v>2016</v>
      </c>
      <c r="E175" s="20" t="s">
        <v>310</v>
      </c>
      <c r="F175" s="3" t="s">
        <v>51</v>
      </c>
      <c r="G175" s="3" t="s">
        <v>257</v>
      </c>
      <c r="H175" s="3" t="s">
        <v>47</v>
      </c>
      <c r="I175" s="3" t="s">
        <v>114</v>
      </c>
      <c r="J175" s="3" t="s">
        <v>258</v>
      </c>
      <c r="K175" s="3" t="s">
        <v>259</v>
      </c>
      <c r="L175" s="32" t="s">
        <v>108</v>
      </c>
      <c r="M175" s="3" t="s">
        <v>47</v>
      </c>
      <c r="N175" s="3" t="s">
        <v>82</v>
      </c>
      <c r="O175" s="3" t="s">
        <v>260</v>
      </c>
      <c r="P175" s="3" t="s">
        <v>89</v>
      </c>
      <c r="Q175" s="3" t="s">
        <v>56</v>
      </c>
      <c r="R175" s="3" t="s">
        <v>47</v>
      </c>
      <c r="S175" s="3" t="s">
        <v>53</v>
      </c>
      <c r="T175" s="3" t="s">
        <v>53</v>
      </c>
      <c r="U175" s="3" t="s">
        <v>53</v>
      </c>
      <c r="V175" s="4" t="s">
        <v>308</v>
      </c>
      <c r="W175" s="28" t="n">
        <f aca="false">'Industries data'!F42</f>
        <v>1.08774855518356</v>
      </c>
    </row>
    <row r="176" s="30" customFormat="true" ht="141.75" hidden="false" customHeight="false" outlineLevel="0" collapsed="false">
      <c r="A176" s="2"/>
      <c r="B176" s="2" t="s">
        <v>303</v>
      </c>
      <c r="C176" s="3" t="s">
        <v>303</v>
      </c>
      <c r="D176" s="3" t="n">
        <v>2015</v>
      </c>
      <c r="E176" s="20" t="s">
        <v>311</v>
      </c>
      <c r="F176" s="3" t="s">
        <v>51</v>
      </c>
      <c r="G176" s="3" t="s">
        <v>257</v>
      </c>
      <c r="H176" s="3" t="s">
        <v>47</v>
      </c>
      <c r="I176" s="3" t="s">
        <v>114</v>
      </c>
      <c r="J176" s="3" t="s">
        <v>258</v>
      </c>
      <c r="K176" s="3" t="s">
        <v>259</v>
      </c>
      <c r="L176" s="32" t="s">
        <v>108</v>
      </c>
      <c r="M176" s="3" t="s">
        <v>47</v>
      </c>
      <c r="N176" s="3" t="s">
        <v>82</v>
      </c>
      <c r="O176" s="3" t="s">
        <v>260</v>
      </c>
      <c r="P176" s="3" t="s">
        <v>89</v>
      </c>
      <c r="Q176" s="3" t="s">
        <v>56</v>
      </c>
      <c r="R176" s="3" t="s">
        <v>47</v>
      </c>
      <c r="S176" s="3" t="s">
        <v>53</v>
      </c>
      <c r="T176" s="3" t="s">
        <v>53</v>
      </c>
      <c r="U176" s="3" t="s">
        <v>53</v>
      </c>
      <c r="V176" s="4" t="s">
        <v>308</v>
      </c>
      <c r="W176" s="28" t="n">
        <f aca="false">'Industries data'!F43</f>
        <v>1.30260185194533</v>
      </c>
    </row>
    <row r="177" s="30" customFormat="true" ht="141.75" hidden="false" customHeight="false" outlineLevel="0" collapsed="false">
      <c r="A177" s="2"/>
      <c r="B177" s="2" t="s">
        <v>303</v>
      </c>
      <c r="C177" s="3" t="s">
        <v>303</v>
      </c>
      <c r="D177" s="3" t="n">
        <v>2014</v>
      </c>
      <c r="E177" s="20" t="s">
        <v>312</v>
      </c>
      <c r="F177" s="3" t="s">
        <v>51</v>
      </c>
      <c r="G177" s="3" t="s">
        <v>257</v>
      </c>
      <c r="H177" s="3" t="s">
        <v>47</v>
      </c>
      <c r="I177" s="3" t="s">
        <v>114</v>
      </c>
      <c r="J177" s="3" t="s">
        <v>258</v>
      </c>
      <c r="K177" s="3" t="s">
        <v>259</v>
      </c>
      <c r="L177" s="32" t="s">
        <v>108</v>
      </c>
      <c r="M177" s="3" t="s">
        <v>47</v>
      </c>
      <c r="N177" s="3" t="s">
        <v>82</v>
      </c>
      <c r="O177" s="3" t="s">
        <v>260</v>
      </c>
      <c r="P177" s="3" t="s">
        <v>89</v>
      </c>
      <c r="Q177" s="3" t="s">
        <v>56</v>
      </c>
      <c r="R177" s="3" t="s">
        <v>47</v>
      </c>
      <c r="S177" s="3" t="s">
        <v>53</v>
      </c>
      <c r="T177" s="3" t="s">
        <v>53</v>
      </c>
      <c r="U177" s="3" t="s">
        <v>53</v>
      </c>
      <c r="V177" s="4" t="s">
        <v>313</v>
      </c>
      <c r="W177" s="28" t="n">
        <f aca="false">'Industries data'!F44</f>
        <v>1.45774707865079</v>
      </c>
    </row>
    <row r="178" s="30" customFormat="true" ht="141.75" hidden="false" customHeight="false" outlineLevel="0" collapsed="false">
      <c r="A178" s="2"/>
      <c r="B178" s="2" t="s">
        <v>303</v>
      </c>
      <c r="C178" s="3" t="s">
        <v>303</v>
      </c>
      <c r="D178" s="3" t="n">
        <v>2013</v>
      </c>
      <c r="E178" s="20" t="s">
        <v>314</v>
      </c>
      <c r="F178" s="3" t="s">
        <v>51</v>
      </c>
      <c r="G178" s="3" t="s">
        <v>257</v>
      </c>
      <c r="H178" s="3" t="s">
        <v>47</v>
      </c>
      <c r="I178" s="3" t="s">
        <v>114</v>
      </c>
      <c r="J178" s="3" t="s">
        <v>258</v>
      </c>
      <c r="K178" s="3" t="s">
        <v>259</v>
      </c>
      <c r="L178" s="32" t="s">
        <v>108</v>
      </c>
      <c r="M178" s="3" t="s">
        <v>47</v>
      </c>
      <c r="N178" s="3" t="s">
        <v>82</v>
      </c>
      <c r="O178" s="3" t="s">
        <v>260</v>
      </c>
      <c r="P178" s="3" t="s">
        <v>89</v>
      </c>
      <c r="Q178" s="3" t="s">
        <v>56</v>
      </c>
      <c r="R178" s="3" t="s">
        <v>47</v>
      </c>
      <c r="S178" s="3" t="s">
        <v>53</v>
      </c>
      <c r="T178" s="3" t="s">
        <v>53</v>
      </c>
      <c r="U178" s="3" t="s">
        <v>53</v>
      </c>
      <c r="V178" s="4" t="s">
        <v>313</v>
      </c>
      <c r="W178" s="28" t="n">
        <f aca="false">'Industries data'!F45</f>
        <v>1.38749242481607</v>
      </c>
    </row>
    <row r="179" s="30" customFormat="true" ht="141.75" hidden="false" customHeight="false" outlineLevel="0" collapsed="false">
      <c r="A179" s="2"/>
      <c r="B179" s="2" t="s">
        <v>303</v>
      </c>
      <c r="C179" s="3" t="s">
        <v>303</v>
      </c>
      <c r="D179" s="3" t="n">
        <v>2012</v>
      </c>
      <c r="E179" s="20" t="s">
        <v>315</v>
      </c>
      <c r="F179" s="3" t="s">
        <v>51</v>
      </c>
      <c r="G179" s="3" t="s">
        <v>257</v>
      </c>
      <c r="H179" s="3" t="s">
        <v>47</v>
      </c>
      <c r="I179" s="3" t="s">
        <v>114</v>
      </c>
      <c r="J179" s="3" t="s">
        <v>258</v>
      </c>
      <c r="K179" s="3" t="s">
        <v>259</v>
      </c>
      <c r="L179" s="32" t="s">
        <v>108</v>
      </c>
      <c r="M179" s="3" t="s">
        <v>47</v>
      </c>
      <c r="N179" s="3" t="s">
        <v>82</v>
      </c>
      <c r="O179" s="3" t="s">
        <v>260</v>
      </c>
      <c r="P179" s="3" t="s">
        <v>89</v>
      </c>
      <c r="Q179" s="3" t="s">
        <v>56</v>
      </c>
      <c r="R179" s="3" t="s">
        <v>47</v>
      </c>
      <c r="S179" s="3" t="s">
        <v>53</v>
      </c>
      <c r="T179" s="3" t="s">
        <v>53</v>
      </c>
      <c r="U179" s="3" t="s">
        <v>53</v>
      </c>
      <c r="V179" s="4" t="s">
        <v>316</v>
      </c>
      <c r="W179" s="28" t="n">
        <f aca="false">'Industries data'!F46</f>
        <v>1.48999272166748</v>
      </c>
    </row>
    <row r="180" s="30" customFormat="true" ht="141.75" hidden="false" customHeight="false" outlineLevel="0" collapsed="false">
      <c r="A180" s="2"/>
      <c r="B180" s="2" t="s">
        <v>303</v>
      </c>
      <c r="C180" s="3" t="s">
        <v>303</v>
      </c>
      <c r="D180" s="3" t="n">
        <v>2011</v>
      </c>
      <c r="E180" s="20" t="s">
        <v>315</v>
      </c>
      <c r="F180" s="3" t="s">
        <v>51</v>
      </c>
      <c r="G180" s="3" t="s">
        <v>257</v>
      </c>
      <c r="H180" s="3" t="s">
        <v>47</v>
      </c>
      <c r="I180" s="3" t="s">
        <v>114</v>
      </c>
      <c r="J180" s="3" t="s">
        <v>258</v>
      </c>
      <c r="K180" s="3" t="s">
        <v>259</v>
      </c>
      <c r="L180" s="32" t="s">
        <v>108</v>
      </c>
      <c r="M180" s="3" t="s">
        <v>47</v>
      </c>
      <c r="N180" s="3" t="s">
        <v>82</v>
      </c>
      <c r="O180" s="3" t="s">
        <v>260</v>
      </c>
      <c r="P180" s="3" t="s">
        <v>89</v>
      </c>
      <c r="Q180" s="3" t="s">
        <v>56</v>
      </c>
      <c r="R180" s="3" t="s">
        <v>47</v>
      </c>
      <c r="S180" s="3" t="s">
        <v>53</v>
      </c>
      <c r="T180" s="3" t="s">
        <v>53</v>
      </c>
      <c r="U180" s="3" t="s">
        <v>53</v>
      </c>
      <c r="V180" s="4" t="s">
        <v>316</v>
      </c>
      <c r="W180" s="28" t="n">
        <f aca="false">'Industries data'!F47</f>
        <v>1.77373905068743</v>
      </c>
    </row>
    <row r="181" s="47" customFormat="true" ht="15.75" hidden="false" customHeight="false" outlineLevel="0" collapsed="false">
      <c r="A181" s="40"/>
      <c r="B181" s="40"/>
      <c r="C181" s="41" t="s">
        <v>169</v>
      </c>
      <c r="D181" s="42"/>
      <c r="E181" s="43"/>
      <c r="F181" s="41" t="s">
        <v>169</v>
      </c>
      <c r="G181" s="42"/>
      <c r="H181" s="42"/>
      <c r="I181" s="42"/>
      <c r="J181" s="42"/>
      <c r="K181" s="42"/>
      <c r="L181" s="41"/>
      <c r="M181" s="42"/>
      <c r="N181" s="42"/>
      <c r="O181" s="42"/>
      <c r="P181" s="42"/>
      <c r="Q181" s="42"/>
      <c r="R181" s="42"/>
      <c r="S181" s="42"/>
      <c r="T181" s="42"/>
      <c r="U181" s="42"/>
      <c r="V181" s="44"/>
      <c r="W181" s="45"/>
      <c r="X181" s="46"/>
      <c r="Y181" s="46"/>
      <c r="Z181" s="40"/>
      <c r="AA181" s="40"/>
      <c r="AB181" s="40"/>
      <c r="AC181" s="40"/>
      <c r="AD181" s="40"/>
      <c r="AE181" s="40"/>
      <c r="AF181" s="40"/>
      <c r="AG181" s="40"/>
    </row>
    <row r="182" s="30" customFormat="true" ht="141.75" hidden="false" customHeight="false" outlineLevel="0" collapsed="false">
      <c r="A182" s="2"/>
      <c r="B182" s="2" t="s">
        <v>317</v>
      </c>
      <c r="C182" s="3" t="s">
        <v>317</v>
      </c>
      <c r="D182" s="3" t="n">
        <v>2020</v>
      </c>
      <c r="E182" s="20" t="s">
        <v>318</v>
      </c>
      <c r="F182" s="3" t="s">
        <v>51</v>
      </c>
      <c r="G182" s="3" t="s">
        <v>257</v>
      </c>
      <c r="H182" s="3" t="s">
        <v>47</v>
      </c>
      <c r="I182" s="3" t="s">
        <v>114</v>
      </c>
      <c r="J182" s="3" t="s">
        <v>258</v>
      </c>
      <c r="K182" s="3" t="s">
        <v>259</v>
      </c>
      <c r="L182" s="32" t="s">
        <v>108</v>
      </c>
      <c r="M182" s="3" t="s">
        <v>47</v>
      </c>
      <c r="N182" s="3" t="s">
        <v>82</v>
      </c>
      <c r="O182" s="3" t="s">
        <v>319</v>
      </c>
      <c r="P182" s="3" t="s">
        <v>89</v>
      </c>
      <c r="Q182" s="3" t="s">
        <v>56</v>
      </c>
      <c r="R182" s="3" t="s">
        <v>47</v>
      </c>
      <c r="S182" s="3" t="s">
        <v>53</v>
      </c>
      <c r="T182" s="3" t="s">
        <v>53</v>
      </c>
      <c r="U182" s="3" t="s">
        <v>53</v>
      </c>
      <c r="V182" s="4" t="s">
        <v>320</v>
      </c>
      <c r="W182" s="28" t="n">
        <f aca="false">'Industries data'!F49</f>
        <v>0.44481079951328</v>
      </c>
    </row>
    <row r="183" s="30" customFormat="true" ht="141.75" hidden="false" customHeight="false" outlineLevel="0" collapsed="false">
      <c r="A183" s="2"/>
      <c r="B183" s="2" t="s">
        <v>317</v>
      </c>
      <c r="C183" s="3" t="s">
        <v>317</v>
      </c>
      <c r="D183" s="3" t="n">
        <v>2019</v>
      </c>
      <c r="E183" s="20" t="s">
        <v>321</v>
      </c>
      <c r="F183" s="3" t="s">
        <v>51</v>
      </c>
      <c r="G183" s="3" t="s">
        <v>257</v>
      </c>
      <c r="H183" s="3" t="s">
        <v>47</v>
      </c>
      <c r="I183" s="3" t="s">
        <v>114</v>
      </c>
      <c r="J183" s="3" t="s">
        <v>258</v>
      </c>
      <c r="K183" s="3" t="s">
        <v>259</v>
      </c>
      <c r="L183" s="32" t="s">
        <v>108</v>
      </c>
      <c r="M183" s="3" t="s">
        <v>47</v>
      </c>
      <c r="N183" s="3" t="s">
        <v>82</v>
      </c>
      <c r="O183" s="3" t="s">
        <v>319</v>
      </c>
      <c r="P183" s="3" t="s">
        <v>89</v>
      </c>
      <c r="Q183" s="3" t="s">
        <v>56</v>
      </c>
      <c r="R183" s="3" t="s">
        <v>47</v>
      </c>
      <c r="S183" s="3" t="s">
        <v>53</v>
      </c>
      <c r="T183" s="3" t="s">
        <v>53</v>
      </c>
      <c r="U183" s="3" t="s">
        <v>53</v>
      </c>
      <c r="V183" s="4" t="s">
        <v>320</v>
      </c>
      <c r="W183" s="28" t="n">
        <f aca="false">'Industries data'!F50</f>
        <v>0.495370011901611</v>
      </c>
    </row>
    <row r="184" s="30" customFormat="true" ht="141.75" hidden="false" customHeight="false" outlineLevel="0" collapsed="false">
      <c r="A184" s="2"/>
      <c r="B184" s="2" t="s">
        <v>317</v>
      </c>
      <c r="C184" s="3" t="s">
        <v>317</v>
      </c>
      <c r="D184" s="3" t="n">
        <v>2018</v>
      </c>
      <c r="E184" s="20" t="s">
        <v>322</v>
      </c>
      <c r="F184" s="3" t="s">
        <v>51</v>
      </c>
      <c r="G184" s="3" t="s">
        <v>257</v>
      </c>
      <c r="H184" s="3" t="s">
        <v>47</v>
      </c>
      <c r="I184" s="3" t="s">
        <v>114</v>
      </c>
      <c r="J184" s="3" t="s">
        <v>258</v>
      </c>
      <c r="K184" s="3" t="s">
        <v>259</v>
      </c>
      <c r="L184" s="32" t="s">
        <v>108</v>
      </c>
      <c r="M184" s="3" t="s">
        <v>47</v>
      </c>
      <c r="N184" s="3" t="s">
        <v>82</v>
      </c>
      <c r="O184" s="3" t="s">
        <v>319</v>
      </c>
      <c r="P184" s="3" t="s">
        <v>89</v>
      </c>
      <c r="Q184" s="3" t="s">
        <v>56</v>
      </c>
      <c r="R184" s="3" t="s">
        <v>47</v>
      </c>
      <c r="S184" s="3" t="s">
        <v>53</v>
      </c>
      <c r="T184" s="3" t="s">
        <v>53</v>
      </c>
      <c r="U184" s="3" t="s">
        <v>53</v>
      </c>
      <c r="V184" s="4" t="s">
        <v>323</v>
      </c>
      <c r="W184" s="28" t="n">
        <f aca="false">'Industries data'!F51</f>
        <v>0.482168760864496</v>
      </c>
    </row>
    <row r="185" s="30" customFormat="true" ht="141.75" hidden="false" customHeight="false" outlineLevel="0" collapsed="false">
      <c r="A185" s="2"/>
      <c r="B185" s="2" t="s">
        <v>317</v>
      </c>
      <c r="C185" s="3" t="s">
        <v>317</v>
      </c>
      <c r="D185" s="3" t="n">
        <v>2017</v>
      </c>
      <c r="E185" s="20" t="s">
        <v>324</v>
      </c>
      <c r="F185" s="3" t="s">
        <v>51</v>
      </c>
      <c r="G185" s="3" t="s">
        <v>257</v>
      </c>
      <c r="H185" s="3" t="s">
        <v>47</v>
      </c>
      <c r="I185" s="3" t="s">
        <v>114</v>
      </c>
      <c r="J185" s="3" t="s">
        <v>258</v>
      </c>
      <c r="K185" s="3" t="s">
        <v>259</v>
      </c>
      <c r="L185" s="32" t="s">
        <v>108</v>
      </c>
      <c r="M185" s="3" t="s">
        <v>47</v>
      </c>
      <c r="N185" s="3" t="s">
        <v>82</v>
      </c>
      <c r="O185" s="3" t="s">
        <v>319</v>
      </c>
      <c r="P185" s="3" t="s">
        <v>89</v>
      </c>
      <c r="Q185" s="3" t="s">
        <v>56</v>
      </c>
      <c r="R185" s="3" t="s">
        <v>47</v>
      </c>
      <c r="S185" s="3" t="s">
        <v>53</v>
      </c>
      <c r="T185" s="3" t="s">
        <v>53</v>
      </c>
      <c r="U185" s="3" t="s">
        <v>53</v>
      </c>
      <c r="V185" s="4" t="s">
        <v>325</v>
      </c>
      <c r="W185" s="28" t="n">
        <f aca="false">'Industries data'!F52</f>
        <v>0.500873223333534</v>
      </c>
    </row>
    <row r="186" s="30" customFormat="true" ht="141.75" hidden="false" customHeight="false" outlineLevel="0" collapsed="false">
      <c r="A186" s="2"/>
      <c r="B186" s="2" t="s">
        <v>317</v>
      </c>
      <c r="C186" s="3" t="s">
        <v>317</v>
      </c>
      <c r="D186" s="3" t="n">
        <v>2016</v>
      </c>
      <c r="E186" s="20" t="s">
        <v>326</v>
      </c>
      <c r="F186" s="3" t="s">
        <v>51</v>
      </c>
      <c r="G186" s="3" t="s">
        <v>257</v>
      </c>
      <c r="H186" s="3" t="s">
        <v>47</v>
      </c>
      <c r="I186" s="3" t="s">
        <v>114</v>
      </c>
      <c r="J186" s="3" t="s">
        <v>258</v>
      </c>
      <c r="K186" s="3" t="s">
        <v>259</v>
      </c>
      <c r="L186" s="32" t="s">
        <v>108</v>
      </c>
      <c r="M186" s="3" t="s">
        <v>47</v>
      </c>
      <c r="N186" s="3" t="s">
        <v>82</v>
      </c>
      <c r="O186" s="3" t="s">
        <v>319</v>
      </c>
      <c r="P186" s="3" t="s">
        <v>89</v>
      </c>
      <c r="Q186" s="3" t="s">
        <v>56</v>
      </c>
      <c r="R186" s="3" t="s">
        <v>47</v>
      </c>
      <c r="S186" s="3" t="s">
        <v>53</v>
      </c>
      <c r="T186" s="3" t="s">
        <v>53</v>
      </c>
      <c r="U186" s="3" t="s">
        <v>53</v>
      </c>
      <c r="V186" s="4" t="s">
        <v>325</v>
      </c>
      <c r="W186" s="28" t="n">
        <f aca="false">'Industries data'!F53</f>
        <v>0.563600418464747</v>
      </c>
    </row>
    <row r="187" s="30" customFormat="true" ht="141.75" hidden="false" customHeight="false" outlineLevel="0" collapsed="false">
      <c r="A187" s="2"/>
      <c r="B187" s="2" t="s">
        <v>317</v>
      </c>
      <c r="C187" s="3" t="s">
        <v>317</v>
      </c>
      <c r="D187" s="3" t="n">
        <v>2015</v>
      </c>
      <c r="E187" s="20" t="s">
        <v>326</v>
      </c>
      <c r="F187" s="3" t="s">
        <v>51</v>
      </c>
      <c r="G187" s="3" t="s">
        <v>257</v>
      </c>
      <c r="H187" s="3" t="s">
        <v>47</v>
      </c>
      <c r="I187" s="3" t="s">
        <v>114</v>
      </c>
      <c r="J187" s="3" t="s">
        <v>258</v>
      </c>
      <c r="K187" s="3" t="s">
        <v>259</v>
      </c>
      <c r="L187" s="32" t="s">
        <v>108</v>
      </c>
      <c r="M187" s="3" t="s">
        <v>47</v>
      </c>
      <c r="N187" s="3" t="s">
        <v>82</v>
      </c>
      <c r="O187" s="3" t="s">
        <v>319</v>
      </c>
      <c r="P187" s="3" t="s">
        <v>89</v>
      </c>
      <c r="Q187" s="3" t="s">
        <v>56</v>
      </c>
      <c r="R187" s="3" t="s">
        <v>47</v>
      </c>
      <c r="S187" s="3" t="s">
        <v>53</v>
      </c>
      <c r="T187" s="3" t="s">
        <v>53</v>
      </c>
      <c r="U187" s="3" t="s">
        <v>53</v>
      </c>
      <c r="V187" s="4" t="s">
        <v>325</v>
      </c>
      <c r="W187" s="28" t="n">
        <f aca="false">'Industries data'!F54</f>
        <v>0.613389303566886</v>
      </c>
    </row>
    <row r="188" s="30" customFormat="true" ht="141.75" hidden="false" customHeight="false" outlineLevel="0" collapsed="false">
      <c r="A188" s="2"/>
      <c r="B188" s="2" t="s">
        <v>317</v>
      </c>
      <c r="C188" s="3" t="s">
        <v>317</v>
      </c>
      <c r="D188" s="3" t="n">
        <v>2014</v>
      </c>
      <c r="E188" s="20" t="s">
        <v>327</v>
      </c>
      <c r="F188" s="3" t="s">
        <v>51</v>
      </c>
      <c r="G188" s="3" t="s">
        <v>257</v>
      </c>
      <c r="H188" s="3" t="s">
        <v>47</v>
      </c>
      <c r="I188" s="3" t="s">
        <v>114</v>
      </c>
      <c r="J188" s="3" t="s">
        <v>258</v>
      </c>
      <c r="K188" s="3" t="s">
        <v>259</v>
      </c>
      <c r="L188" s="32" t="s">
        <v>108</v>
      </c>
      <c r="M188" s="3" t="s">
        <v>47</v>
      </c>
      <c r="N188" s="3" t="s">
        <v>82</v>
      </c>
      <c r="O188" s="3" t="s">
        <v>319</v>
      </c>
      <c r="P188" s="3" t="s">
        <v>89</v>
      </c>
      <c r="Q188" s="3" t="s">
        <v>56</v>
      </c>
      <c r="R188" s="3" t="s">
        <v>47</v>
      </c>
      <c r="S188" s="3" t="s">
        <v>53</v>
      </c>
      <c r="T188" s="3" t="s">
        <v>53</v>
      </c>
      <c r="U188" s="3" t="s">
        <v>53</v>
      </c>
      <c r="V188" s="4" t="s">
        <v>328</v>
      </c>
      <c r="W188" s="28" t="n">
        <f aca="false">'Industries data'!F55</f>
        <v>0.625910469657919</v>
      </c>
    </row>
    <row r="189" s="30" customFormat="true" ht="141.75" hidden="false" customHeight="false" outlineLevel="0" collapsed="false">
      <c r="A189" s="2"/>
      <c r="B189" s="2" t="s">
        <v>317</v>
      </c>
      <c r="C189" s="3" t="s">
        <v>317</v>
      </c>
      <c r="D189" s="3" t="n">
        <v>2013</v>
      </c>
      <c r="E189" s="20" t="s">
        <v>327</v>
      </c>
      <c r="F189" s="3" t="s">
        <v>51</v>
      </c>
      <c r="G189" s="3" t="s">
        <v>257</v>
      </c>
      <c r="H189" s="3" t="s">
        <v>47</v>
      </c>
      <c r="I189" s="3" t="s">
        <v>114</v>
      </c>
      <c r="J189" s="3" t="s">
        <v>258</v>
      </c>
      <c r="K189" s="3" t="s">
        <v>259</v>
      </c>
      <c r="L189" s="32" t="s">
        <v>108</v>
      </c>
      <c r="M189" s="3" t="s">
        <v>47</v>
      </c>
      <c r="N189" s="3" t="s">
        <v>82</v>
      </c>
      <c r="O189" s="3" t="s">
        <v>319</v>
      </c>
      <c r="P189" s="3" t="s">
        <v>89</v>
      </c>
      <c r="Q189" s="3" t="s">
        <v>56</v>
      </c>
      <c r="R189" s="3" t="s">
        <v>47</v>
      </c>
      <c r="S189" s="3" t="s">
        <v>53</v>
      </c>
      <c r="T189" s="3" t="s">
        <v>53</v>
      </c>
      <c r="U189" s="3" t="s">
        <v>53</v>
      </c>
      <c r="V189" s="4" t="s">
        <v>328</v>
      </c>
      <c r="W189" s="28" t="n">
        <f aca="false">'Industries data'!F56</f>
        <v>0.522878373415568</v>
      </c>
    </row>
    <row r="190" s="30" customFormat="true" ht="141.75" hidden="false" customHeight="false" outlineLevel="0" collapsed="false">
      <c r="A190" s="2"/>
      <c r="B190" s="2" t="s">
        <v>317</v>
      </c>
      <c r="C190" s="3" t="s">
        <v>317</v>
      </c>
      <c r="D190" s="3" t="n">
        <v>2012</v>
      </c>
      <c r="E190" s="20" t="s">
        <v>329</v>
      </c>
      <c r="F190" s="3" t="s">
        <v>51</v>
      </c>
      <c r="G190" s="3" t="s">
        <v>257</v>
      </c>
      <c r="H190" s="3" t="s">
        <v>47</v>
      </c>
      <c r="I190" s="3" t="s">
        <v>114</v>
      </c>
      <c r="J190" s="3" t="s">
        <v>258</v>
      </c>
      <c r="K190" s="3" t="s">
        <v>259</v>
      </c>
      <c r="L190" s="32" t="s">
        <v>108</v>
      </c>
      <c r="M190" s="3" t="s">
        <v>47</v>
      </c>
      <c r="N190" s="3" t="s">
        <v>82</v>
      </c>
      <c r="O190" s="3" t="s">
        <v>319</v>
      </c>
      <c r="P190" s="3" t="s">
        <v>89</v>
      </c>
      <c r="Q190" s="3" t="s">
        <v>56</v>
      </c>
      <c r="R190" s="3" t="s">
        <v>47</v>
      </c>
      <c r="S190" s="3" t="s">
        <v>53</v>
      </c>
      <c r="T190" s="3" t="s">
        <v>53</v>
      </c>
      <c r="U190" s="3" t="s">
        <v>53</v>
      </c>
      <c r="V190" s="4" t="s">
        <v>330</v>
      </c>
      <c r="W190" s="28" t="n">
        <f aca="false">'Industries data'!F57</f>
        <v>0.564806571007539</v>
      </c>
    </row>
    <row r="191" s="30" customFormat="true" ht="141.75" hidden="false" customHeight="false" outlineLevel="0" collapsed="false">
      <c r="A191" s="2"/>
      <c r="B191" s="2" t="s">
        <v>317</v>
      </c>
      <c r="C191" s="3" t="s">
        <v>317</v>
      </c>
      <c r="D191" s="3" t="n">
        <v>2011</v>
      </c>
      <c r="E191" s="20" t="s">
        <v>329</v>
      </c>
      <c r="F191" s="3" t="s">
        <v>51</v>
      </c>
      <c r="G191" s="3" t="s">
        <v>257</v>
      </c>
      <c r="H191" s="3" t="s">
        <v>47</v>
      </c>
      <c r="I191" s="3" t="s">
        <v>114</v>
      </c>
      <c r="J191" s="3" t="s">
        <v>258</v>
      </c>
      <c r="K191" s="3" t="s">
        <v>259</v>
      </c>
      <c r="L191" s="32" t="s">
        <v>108</v>
      </c>
      <c r="M191" s="3" t="s">
        <v>47</v>
      </c>
      <c r="N191" s="3" t="s">
        <v>82</v>
      </c>
      <c r="O191" s="3" t="s">
        <v>319</v>
      </c>
      <c r="P191" s="3" t="s">
        <v>89</v>
      </c>
      <c r="Q191" s="3" t="s">
        <v>56</v>
      </c>
      <c r="R191" s="3" t="s">
        <v>47</v>
      </c>
      <c r="S191" s="3" t="s">
        <v>53</v>
      </c>
      <c r="T191" s="3" t="s">
        <v>53</v>
      </c>
      <c r="U191" s="3" t="s">
        <v>53</v>
      </c>
      <c r="V191" s="4" t="s">
        <v>328</v>
      </c>
      <c r="W191" s="28" t="n">
        <f aca="false">'Industries data'!F58</f>
        <v>0.596093960661592</v>
      </c>
    </row>
    <row r="192" s="51" customFormat="true" ht="15.75" hidden="false" customHeight="false" outlineLevel="0" collapsed="false">
      <c r="A192" s="50"/>
      <c r="C192" s="52"/>
      <c r="D192" s="52"/>
      <c r="E192" s="52"/>
      <c r="F192" s="52"/>
      <c r="G192" s="52"/>
      <c r="H192" s="52"/>
      <c r="I192" s="52"/>
      <c r="J192" s="52"/>
      <c r="K192" s="52"/>
      <c r="L192" s="52"/>
      <c r="M192" s="52"/>
      <c r="N192" s="52"/>
      <c r="O192" s="52"/>
      <c r="P192" s="52"/>
      <c r="Q192" s="52"/>
      <c r="R192" s="52"/>
      <c r="S192" s="52"/>
      <c r="T192" s="52"/>
      <c r="U192" s="52"/>
      <c r="W192" s="53"/>
    </row>
    <row r="193" s="30" customFormat="true" ht="110.25" hidden="false" customHeight="false" outlineLevel="0" collapsed="false">
      <c r="A193" s="2"/>
      <c r="B193" s="2" t="s">
        <v>331</v>
      </c>
      <c r="C193" s="32" t="s">
        <v>332</v>
      </c>
      <c r="D193" s="32" t="n">
        <v>2013</v>
      </c>
      <c r="E193" s="20" t="s">
        <v>333</v>
      </c>
      <c r="F193" s="32" t="s">
        <v>57</v>
      </c>
      <c r="G193" s="32" t="s">
        <v>75</v>
      </c>
      <c r="H193" s="32" t="s">
        <v>47</v>
      </c>
      <c r="I193" s="32" t="s">
        <v>114</v>
      </c>
      <c r="J193" s="32" t="s">
        <v>75</v>
      </c>
      <c r="K193" s="32" t="n">
        <v>300</v>
      </c>
      <c r="L193" s="32" t="s">
        <v>114</v>
      </c>
      <c r="M193" s="32" t="s">
        <v>78</v>
      </c>
      <c r="N193" s="32" t="s">
        <v>53</v>
      </c>
      <c r="O193" s="54" t="s">
        <v>75</v>
      </c>
      <c r="P193" s="32" t="s">
        <v>89</v>
      </c>
      <c r="Q193" s="32" t="s">
        <v>75</v>
      </c>
      <c r="R193" s="55" t="s">
        <v>75</v>
      </c>
      <c r="S193" s="55" t="s">
        <v>53</v>
      </c>
      <c r="T193" s="32" t="s">
        <v>53</v>
      </c>
      <c r="U193" s="32" t="s">
        <v>47</v>
      </c>
      <c r="V193" s="4" t="s">
        <v>334</v>
      </c>
      <c r="W193" s="28" t="n">
        <f aca="false">'ITRS data'!BC21</f>
        <v>0.22</v>
      </c>
      <c r="X193" s="29"/>
      <c r="Y193" s="29"/>
      <c r="Z193" s="2"/>
      <c r="AA193" s="2"/>
      <c r="AB193" s="2"/>
      <c r="AC193" s="2"/>
      <c r="AD193" s="2"/>
      <c r="AE193" s="2"/>
      <c r="AF193" s="2"/>
      <c r="AG193" s="2"/>
    </row>
    <row r="194" s="30" customFormat="true" ht="110.25" hidden="false" customHeight="false" outlineLevel="0" collapsed="false">
      <c r="A194" s="2"/>
      <c r="B194" s="2" t="s">
        <v>331</v>
      </c>
      <c r="C194" s="32" t="s">
        <v>332</v>
      </c>
      <c r="D194" s="32" t="n">
        <v>2014</v>
      </c>
      <c r="E194" s="20" t="s">
        <v>333</v>
      </c>
      <c r="F194" s="32" t="s">
        <v>57</v>
      </c>
      <c r="G194" s="32" t="s">
        <v>75</v>
      </c>
      <c r="H194" s="32" t="s">
        <v>47</v>
      </c>
      <c r="I194" s="32" t="s">
        <v>114</v>
      </c>
      <c r="J194" s="32" t="s">
        <v>75</v>
      </c>
      <c r="K194" s="32" t="n">
        <v>300</v>
      </c>
      <c r="L194" s="32" t="s">
        <v>114</v>
      </c>
      <c r="M194" s="32" t="s">
        <v>78</v>
      </c>
      <c r="N194" s="32" t="s">
        <v>53</v>
      </c>
      <c r="O194" s="54" t="s">
        <v>75</v>
      </c>
      <c r="P194" s="32" t="s">
        <v>89</v>
      </c>
      <c r="Q194" s="32" t="s">
        <v>75</v>
      </c>
      <c r="R194" s="55" t="s">
        <v>75</v>
      </c>
      <c r="S194" s="55" t="s">
        <v>53</v>
      </c>
      <c r="T194" s="32" t="s">
        <v>53</v>
      </c>
      <c r="U194" s="32" t="s">
        <v>47</v>
      </c>
      <c r="V194" s="4" t="s">
        <v>334</v>
      </c>
      <c r="W194" s="28" t="n">
        <f aca="false">'ITRS data'!BC22</f>
        <v>0.22</v>
      </c>
      <c r="X194" s="29"/>
      <c r="Y194" s="29"/>
      <c r="Z194" s="2"/>
      <c r="AA194" s="2"/>
      <c r="AB194" s="2"/>
      <c r="AC194" s="2"/>
      <c r="AD194" s="2"/>
      <c r="AE194" s="2"/>
      <c r="AF194" s="2"/>
      <c r="AG194" s="2"/>
    </row>
    <row r="195" s="30" customFormat="true" ht="110.25" hidden="false" customHeight="false" outlineLevel="0" collapsed="false">
      <c r="A195" s="2"/>
      <c r="B195" s="2" t="s">
        <v>331</v>
      </c>
      <c r="C195" s="32" t="s">
        <v>332</v>
      </c>
      <c r="D195" s="32" t="n">
        <v>2015</v>
      </c>
      <c r="E195" s="20" t="s">
        <v>333</v>
      </c>
      <c r="F195" s="32" t="s">
        <v>57</v>
      </c>
      <c r="G195" s="32" t="s">
        <v>75</v>
      </c>
      <c r="H195" s="32" t="s">
        <v>47</v>
      </c>
      <c r="I195" s="32" t="s">
        <v>114</v>
      </c>
      <c r="J195" s="32" t="s">
        <v>75</v>
      </c>
      <c r="K195" s="32" t="n">
        <v>300</v>
      </c>
      <c r="L195" s="32" t="s">
        <v>114</v>
      </c>
      <c r="M195" s="32" t="s">
        <v>78</v>
      </c>
      <c r="N195" s="32" t="s">
        <v>53</v>
      </c>
      <c r="O195" s="54" t="s">
        <v>75</v>
      </c>
      <c r="P195" s="32" t="s">
        <v>89</v>
      </c>
      <c r="Q195" s="32" t="s">
        <v>75</v>
      </c>
      <c r="R195" s="55" t="s">
        <v>75</v>
      </c>
      <c r="S195" s="55" t="s">
        <v>53</v>
      </c>
      <c r="T195" s="32" t="s">
        <v>53</v>
      </c>
      <c r="U195" s="32" t="s">
        <v>47</v>
      </c>
      <c r="V195" s="4" t="s">
        <v>334</v>
      </c>
      <c r="W195" s="28" t="n">
        <f aca="false">'ITRS data'!BC23</f>
        <v>0.22</v>
      </c>
      <c r="X195" s="29"/>
      <c r="Y195" s="29"/>
      <c r="Z195" s="2"/>
      <c r="AA195" s="2"/>
      <c r="AB195" s="2"/>
      <c r="AC195" s="2"/>
      <c r="AD195" s="2"/>
      <c r="AE195" s="2"/>
      <c r="AF195" s="2"/>
      <c r="AG195" s="2"/>
    </row>
    <row r="196" s="30" customFormat="true" ht="110.25" hidden="false" customHeight="false" outlineLevel="0" collapsed="false">
      <c r="A196" s="2"/>
      <c r="B196" s="2" t="s">
        <v>331</v>
      </c>
      <c r="C196" s="32" t="s">
        <v>332</v>
      </c>
      <c r="D196" s="32" t="n">
        <v>2016</v>
      </c>
      <c r="E196" s="20" t="s">
        <v>333</v>
      </c>
      <c r="F196" s="32" t="s">
        <v>57</v>
      </c>
      <c r="G196" s="32" t="s">
        <v>75</v>
      </c>
      <c r="H196" s="32" t="s">
        <v>47</v>
      </c>
      <c r="I196" s="32" t="s">
        <v>114</v>
      </c>
      <c r="J196" s="32" t="s">
        <v>75</v>
      </c>
      <c r="K196" s="32" t="n">
        <v>300</v>
      </c>
      <c r="L196" s="32" t="s">
        <v>114</v>
      </c>
      <c r="M196" s="32" t="s">
        <v>78</v>
      </c>
      <c r="N196" s="32" t="s">
        <v>53</v>
      </c>
      <c r="O196" s="54" t="s">
        <v>75</v>
      </c>
      <c r="P196" s="32" t="s">
        <v>89</v>
      </c>
      <c r="Q196" s="32" t="s">
        <v>75</v>
      </c>
      <c r="R196" s="55" t="s">
        <v>75</v>
      </c>
      <c r="S196" s="55" t="s">
        <v>53</v>
      </c>
      <c r="T196" s="32" t="s">
        <v>53</v>
      </c>
      <c r="U196" s="32" t="s">
        <v>47</v>
      </c>
      <c r="V196" s="4" t="s">
        <v>334</v>
      </c>
      <c r="W196" s="28" t="n">
        <f aca="false">'ITRS data'!BC24</f>
        <v>0.22</v>
      </c>
      <c r="X196" s="29"/>
      <c r="Y196" s="29"/>
      <c r="Z196" s="2"/>
      <c r="AA196" s="2"/>
      <c r="AB196" s="2"/>
      <c r="AC196" s="2"/>
      <c r="AD196" s="2"/>
      <c r="AE196" s="2"/>
      <c r="AF196" s="2"/>
      <c r="AG196" s="2"/>
    </row>
    <row r="197" s="30" customFormat="true" ht="110.25" hidden="false" customHeight="false" outlineLevel="0" collapsed="false">
      <c r="A197" s="2"/>
      <c r="B197" s="2" t="s">
        <v>331</v>
      </c>
      <c r="C197" s="32" t="s">
        <v>332</v>
      </c>
      <c r="D197" s="32" t="n">
        <v>2017</v>
      </c>
      <c r="E197" s="20" t="s">
        <v>333</v>
      </c>
      <c r="F197" s="32" t="s">
        <v>57</v>
      </c>
      <c r="G197" s="32" t="s">
        <v>75</v>
      </c>
      <c r="H197" s="32" t="s">
        <v>47</v>
      </c>
      <c r="I197" s="32" t="s">
        <v>114</v>
      </c>
      <c r="J197" s="32" t="s">
        <v>75</v>
      </c>
      <c r="K197" s="32" t="n">
        <v>300</v>
      </c>
      <c r="L197" s="32" t="s">
        <v>114</v>
      </c>
      <c r="M197" s="32" t="s">
        <v>78</v>
      </c>
      <c r="N197" s="32" t="s">
        <v>53</v>
      </c>
      <c r="O197" s="54" t="s">
        <v>75</v>
      </c>
      <c r="P197" s="32" t="s">
        <v>89</v>
      </c>
      <c r="Q197" s="32" t="s">
        <v>75</v>
      </c>
      <c r="R197" s="55" t="s">
        <v>75</v>
      </c>
      <c r="S197" s="55" t="s">
        <v>53</v>
      </c>
      <c r="T197" s="32" t="s">
        <v>53</v>
      </c>
      <c r="U197" s="32" t="s">
        <v>47</v>
      </c>
      <c r="V197" s="4" t="s">
        <v>334</v>
      </c>
      <c r="W197" s="28" t="n">
        <f aca="false">'ITRS data'!BC25</f>
        <v>0.22</v>
      </c>
      <c r="X197" s="29"/>
      <c r="Y197" s="29"/>
      <c r="Z197" s="2"/>
      <c r="AA197" s="2"/>
      <c r="AB197" s="2"/>
      <c r="AC197" s="2"/>
      <c r="AD197" s="2"/>
      <c r="AE197" s="2"/>
      <c r="AF197" s="2"/>
      <c r="AG197" s="2"/>
    </row>
    <row r="198" s="30" customFormat="true" ht="110.25" hidden="false" customHeight="false" outlineLevel="0" collapsed="false">
      <c r="A198" s="2"/>
      <c r="B198" s="2" t="s">
        <v>331</v>
      </c>
      <c r="C198" s="32" t="s">
        <v>332</v>
      </c>
      <c r="D198" s="32" t="n">
        <v>2018</v>
      </c>
      <c r="E198" s="20" t="s">
        <v>333</v>
      </c>
      <c r="F198" s="32" t="s">
        <v>57</v>
      </c>
      <c r="G198" s="32" t="s">
        <v>75</v>
      </c>
      <c r="H198" s="32" t="s">
        <v>47</v>
      </c>
      <c r="I198" s="32" t="s">
        <v>114</v>
      </c>
      <c r="J198" s="32" t="s">
        <v>75</v>
      </c>
      <c r="K198" s="32" t="n">
        <v>300</v>
      </c>
      <c r="L198" s="32" t="s">
        <v>114</v>
      </c>
      <c r="M198" s="32" t="s">
        <v>78</v>
      </c>
      <c r="N198" s="32" t="s">
        <v>53</v>
      </c>
      <c r="O198" s="54" t="s">
        <v>75</v>
      </c>
      <c r="P198" s="32" t="s">
        <v>89</v>
      </c>
      <c r="Q198" s="32" t="s">
        <v>75</v>
      </c>
      <c r="R198" s="55" t="s">
        <v>75</v>
      </c>
      <c r="S198" s="55" t="s">
        <v>53</v>
      </c>
      <c r="T198" s="32" t="s">
        <v>53</v>
      </c>
      <c r="U198" s="32" t="s">
        <v>47</v>
      </c>
      <c r="V198" s="4" t="s">
        <v>334</v>
      </c>
      <c r="W198" s="28" t="n">
        <f aca="false">'ITRS data'!BC26</f>
        <v>0.22</v>
      </c>
      <c r="X198" s="29"/>
      <c r="Y198" s="29"/>
      <c r="Z198" s="2"/>
      <c r="AA198" s="2"/>
      <c r="AB198" s="2"/>
      <c r="AC198" s="2"/>
      <c r="AD198" s="2"/>
      <c r="AE198" s="2"/>
      <c r="AF198" s="2"/>
      <c r="AG198" s="2"/>
    </row>
    <row r="199" s="30" customFormat="true" ht="110.25" hidden="false" customHeight="false" outlineLevel="0" collapsed="false">
      <c r="A199" s="2"/>
      <c r="B199" s="2" t="s">
        <v>331</v>
      </c>
      <c r="C199" s="32" t="s">
        <v>332</v>
      </c>
      <c r="D199" s="32" t="n">
        <v>2019</v>
      </c>
      <c r="E199" s="20" t="s">
        <v>333</v>
      </c>
      <c r="F199" s="32" t="s">
        <v>57</v>
      </c>
      <c r="G199" s="32" t="s">
        <v>75</v>
      </c>
      <c r="H199" s="32" t="s">
        <v>47</v>
      </c>
      <c r="I199" s="32" t="s">
        <v>114</v>
      </c>
      <c r="J199" s="32" t="s">
        <v>75</v>
      </c>
      <c r="K199" s="32" t="n">
        <v>300</v>
      </c>
      <c r="L199" s="32" t="s">
        <v>114</v>
      </c>
      <c r="M199" s="32" t="s">
        <v>78</v>
      </c>
      <c r="N199" s="32" t="s">
        <v>53</v>
      </c>
      <c r="O199" s="54" t="s">
        <v>75</v>
      </c>
      <c r="P199" s="32" t="s">
        <v>89</v>
      </c>
      <c r="Q199" s="32" t="s">
        <v>75</v>
      </c>
      <c r="R199" s="55" t="s">
        <v>75</v>
      </c>
      <c r="S199" s="55" t="s">
        <v>53</v>
      </c>
      <c r="T199" s="32" t="s">
        <v>53</v>
      </c>
      <c r="U199" s="32" t="s">
        <v>47</v>
      </c>
      <c r="V199" s="4" t="s">
        <v>334</v>
      </c>
      <c r="W199" s="28" t="n">
        <f aca="false">'ITRS data'!BC27</f>
        <v>0.22</v>
      </c>
      <c r="X199" s="29"/>
      <c r="Y199" s="29"/>
      <c r="Z199" s="2"/>
      <c r="AA199" s="2"/>
      <c r="AB199" s="2"/>
      <c r="AC199" s="2"/>
      <c r="AD199" s="2"/>
      <c r="AE199" s="2"/>
      <c r="AF199" s="2"/>
      <c r="AG199" s="2"/>
    </row>
    <row r="200" s="30" customFormat="true" ht="110.25" hidden="false" customHeight="false" outlineLevel="0" collapsed="false">
      <c r="A200" s="2"/>
      <c r="B200" s="2" t="s">
        <v>331</v>
      </c>
      <c r="C200" s="32" t="s">
        <v>332</v>
      </c>
      <c r="D200" s="32" t="n">
        <v>2020</v>
      </c>
      <c r="E200" s="20" t="s">
        <v>333</v>
      </c>
      <c r="F200" s="32" t="s">
        <v>57</v>
      </c>
      <c r="G200" s="32" t="s">
        <v>75</v>
      </c>
      <c r="H200" s="32" t="s">
        <v>47</v>
      </c>
      <c r="I200" s="32" t="s">
        <v>114</v>
      </c>
      <c r="J200" s="32" t="s">
        <v>75</v>
      </c>
      <c r="K200" s="32" t="n">
        <v>300</v>
      </c>
      <c r="L200" s="32" t="s">
        <v>114</v>
      </c>
      <c r="M200" s="32" t="s">
        <v>78</v>
      </c>
      <c r="N200" s="32" t="s">
        <v>53</v>
      </c>
      <c r="O200" s="54" t="s">
        <v>75</v>
      </c>
      <c r="P200" s="32" t="s">
        <v>89</v>
      </c>
      <c r="Q200" s="32" t="s">
        <v>75</v>
      </c>
      <c r="R200" s="55" t="s">
        <v>75</v>
      </c>
      <c r="S200" s="55" t="s">
        <v>53</v>
      </c>
      <c r="T200" s="32" t="s">
        <v>53</v>
      </c>
      <c r="U200" s="32" t="s">
        <v>47</v>
      </c>
      <c r="V200" s="4" t="s">
        <v>334</v>
      </c>
      <c r="W200" s="28" t="n">
        <f aca="false">'ITRS data'!BC28</f>
        <v>0.22</v>
      </c>
      <c r="X200" s="29"/>
      <c r="Y200" s="29"/>
      <c r="Z200" s="2"/>
      <c r="AA200" s="2"/>
      <c r="AB200" s="2"/>
      <c r="AC200" s="2"/>
      <c r="AD200" s="2"/>
      <c r="AE200" s="2"/>
      <c r="AF200" s="2"/>
      <c r="AG200" s="2"/>
    </row>
    <row r="201" s="51" customFormat="true" ht="15.75" hidden="false" customHeight="false" outlineLevel="0" collapsed="false">
      <c r="A201" s="50"/>
      <c r="C201" s="52"/>
      <c r="D201" s="52"/>
      <c r="E201" s="52"/>
      <c r="F201" s="52"/>
      <c r="G201" s="52"/>
      <c r="H201" s="52"/>
      <c r="I201" s="52"/>
      <c r="J201" s="52"/>
      <c r="K201" s="52"/>
      <c r="L201" s="52"/>
      <c r="M201" s="52"/>
      <c r="N201" s="52"/>
      <c r="O201" s="52"/>
      <c r="P201" s="52"/>
      <c r="Q201" s="52"/>
      <c r="R201" s="52"/>
      <c r="S201" s="52"/>
      <c r="T201" s="52"/>
      <c r="U201" s="52"/>
      <c r="W201" s="53"/>
    </row>
    <row r="202" s="30" customFormat="true" ht="157.5" hidden="false" customHeight="false" outlineLevel="0" collapsed="false">
      <c r="A202" s="2"/>
      <c r="B202" s="2" t="s">
        <v>335</v>
      </c>
      <c r="C202" s="3" t="s">
        <v>336</v>
      </c>
      <c r="D202" s="3" t="n">
        <v>2022</v>
      </c>
      <c r="E202" s="20" t="s">
        <v>337</v>
      </c>
      <c r="F202" s="3" t="s">
        <v>62</v>
      </c>
      <c r="G202" s="3" t="s">
        <v>46</v>
      </c>
      <c r="H202" s="3" t="s">
        <v>47</v>
      </c>
      <c r="I202" s="3" t="s">
        <v>47</v>
      </c>
      <c r="J202" s="3" t="n">
        <f aca="false">'GaBi data'!B8</f>
        <v>350</v>
      </c>
      <c r="K202" s="32" t="n">
        <v>300</v>
      </c>
      <c r="L202" s="3" t="s">
        <v>47</v>
      </c>
      <c r="M202" s="3" t="s">
        <v>78</v>
      </c>
      <c r="N202" s="3" t="s">
        <v>47</v>
      </c>
      <c r="O202" s="3" t="s">
        <v>338</v>
      </c>
      <c r="P202" s="3" t="s">
        <v>89</v>
      </c>
      <c r="Q202" s="3" t="s">
        <v>339</v>
      </c>
      <c r="R202" s="3" t="s">
        <v>58</v>
      </c>
      <c r="S202" s="3" t="s">
        <v>47</v>
      </c>
      <c r="T202" s="3" t="s">
        <v>82</v>
      </c>
      <c r="U202" s="3" t="s">
        <v>47</v>
      </c>
      <c r="V202" s="4" t="s">
        <v>340</v>
      </c>
      <c r="W202" s="28" t="str">
        <f aca="false">'GaBi data'!D8</f>
        <v>NA</v>
      </c>
      <c r="X202" s="29"/>
      <c r="Y202" s="29"/>
      <c r="Z202" s="2"/>
      <c r="AA202" s="2"/>
      <c r="AB202" s="2"/>
      <c r="AC202" s="2"/>
      <c r="AD202" s="2"/>
      <c r="AE202" s="2"/>
      <c r="AF202" s="2"/>
      <c r="AG202" s="2"/>
    </row>
    <row r="203" s="30" customFormat="true" ht="157.5" hidden="false" customHeight="false" outlineLevel="0" collapsed="false">
      <c r="A203" s="2"/>
      <c r="B203" s="2" t="s">
        <v>335</v>
      </c>
      <c r="C203" s="3" t="s">
        <v>336</v>
      </c>
      <c r="D203" s="3" t="n">
        <v>2022</v>
      </c>
      <c r="E203" s="20" t="s">
        <v>337</v>
      </c>
      <c r="F203" s="3" t="s">
        <v>62</v>
      </c>
      <c r="G203" s="3" t="s">
        <v>46</v>
      </c>
      <c r="H203" s="3" t="s">
        <v>47</v>
      </c>
      <c r="I203" s="3" t="s">
        <v>47</v>
      </c>
      <c r="J203" s="3" t="n">
        <f aca="false">'GaBi data'!B9</f>
        <v>250</v>
      </c>
      <c r="K203" s="32" t="n">
        <v>300</v>
      </c>
      <c r="L203" s="3" t="s">
        <v>47</v>
      </c>
      <c r="M203" s="3" t="s">
        <v>78</v>
      </c>
      <c r="N203" s="3" t="s">
        <v>47</v>
      </c>
      <c r="O203" s="3" t="s">
        <v>338</v>
      </c>
      <c r="P203" s="3" t="s">
        <v>89</v>
      </c>
      <c r="Q203" s="3" t="s">
        <v>339</v>
      </c>
      <c r="R203" s="3" t="s">
        <v>58</v>
      </c>
      <c r="S203" s="3" t="s">
        <v>47</v>
      </c>
      <c r="T203" s="3" t="s">
        <v>82</v>
      </c>
      <c r="U203" s="3" t="s">
        <v>47</v>
      </c>
      <c r="V203" s="4" t="s">
        <v>340</v>
      </c>
      <c r="W203" s="28" t="str">
        <f aca="false">'GaBi data'!D9</f>
        <v>NA</v>
      </c>
      <c r="X203" s="29"/>
      <c r="Y203" s="29"/>
      <c r="Z203" s="2"/>
      <c r="AA203" s="2"/>
      <c r="AB203" s="2"/>
      <c r="AC203" s="2"/>
      <c r="AD203" s="2"/>
      <c r="AE203" s="2"/>
      <c r="AF203" s="2"/>
      <c r="AG203" s="2"/>
    </row>
    <row r="204" s="30" customFormat="true" ht="157.5" hidden="false" customHeight="false" outlineLevel="0" collapsed="false">
      <c r="A204" s="2"/>
      <c r="B204" s="2" t="s">
        <v>335</v>
      </c>
      <c r="C204" s="3" t="s">
        <v>336</v>
      </c>
      <c r="D204" s="3" t="n">
        <v>2022</v>
      </c>
      <c r="E204" s="20" t="s">
        <v>337</v>
      </c>
      <c r="F204" s="3" t="s">
        <v>62</v>
      </c>
      <c r="G204" s="3" t="s">
        <v>46</v>
      </c>
      <c r="H204" s="3" t="s">
        <v>47</v>
      </c>
      <c r="I204" s="3" t="s">
        <v>47</v>
      </c>
      <c r="J204" s="3" t="n">
        <f aca="false">'GaBi data'!B10</f>
        <v>180</v>
      </c>
      <c r="K204" s="32" t="n">
        <v>300</v>
      </c>
      <c r="L204" s="3" t="s">
        <v>47</v>
      </c>
      <c r="M204" s="3" t="s">
        <v>78</v>
      </c>
      <c r="N204" s="3" t="s">
        <v>47</v>
      </c>
      <c r="O204" s="3" t="s">
        <v>338</v>
      </c>
      <c r="P204" s="3" t="s">
        <v>89</v>
      </c>
      <c r="Q204" s="3" t="s">
        <v>339</v>
      </c>
      <c r="R204" s="3" t="s">
        <v>58</v>
      </c>
      <c r="S204" s="3" t="s">
        <v>47</v>
      </c>
      <c r="T204" s="3" t="s">
        <v>82</v>
      </c>
      <c r="U204" s="3" t="s">
        <v>47</v>
      </c>
      <c r="V204" s="4" t="s">
        <v>340</v>
      </c>
      <c r="W204" s="28" t="str">
        <f aca="false">'GaBi data'!D10</f>
        <v>NA</v>
      </c>
      <c r="X204" s="29"/>
      <c r="Y204" s="29"/>
      <c r="Z204" s="2"/>
      <c r="AA204" s="2"/>
      <c r="AB204" s="2"/>
      <c r="AC204" s="2"/>
      <c r="AD204" s="2"/>
      <c r="AE204" s="2"/>
      <c r="AF204" s="2"/>
      <c r="AG204" s="2"/>
    </row>
    <row r="205" s="30" customFormat="true" ht="157.5" hidden="false" customHeight="false" outlineLevel="0" collapsed="false">
      <c r="A205" s="2"/>
      <c r="B205" s="2" t="s">
        <v>335</v>
      </c>
      <c r="C205" s="3" t="s">
        <v>336</v>
      </c>
      <c r="D205" s="3" t="n">
        <v>2022</v>
      </c>
      <c r="E205" s="20" t="s">
        <v>337</v>
      </c>
      <c r="F205" s="3" t="s">
        <v>62</v>
      </c>
      <c r="G205" s="3" t="s">
        <v>46</v>
      </c>
      <c r="H205" s="3" t="s">
        <v>47</v>
      </c>
      <c r="I205" s="3" t="s">
        <v>47</v>
      </c>
      <c r="J205" s="3" t="n">
        <f aca="false">'GaBi data'!B11</f>
        <v>130</v>
      </c>
      <c r="K205" s="32" t="n">
        <v>300</v>
      </c>
      <c r="L205" s="3" t="s">
        <v>47</v>
      </c>
      <c r="M205" s="3" t="s">
        <v>78</v>
      </c>
      <c r="N205" s="3" t="s">
        <v>47</v>
      </c>
      <c r="O205" s="3" t="s">
        <v>338</v>
      </c>
      <c r="P205" s="3" t="s">
        <v>89</v>
      </c>
      <c r="Q205" s="3" t="s">
        <v>339</v>
      </c>
      <c r="R205" s="3" t="s">
        <v>58</v>
      </c>
      <c r="S205" s="3" t="s">
        <v>47</v>
      </c>
      <c r="T205" s="3" t="s">
        <v>82</v>
      </c>
      <c r="U205" s="3" t="s">
        <v>47</v>
      </c>
      <c r="V205" s="4" t="s">
        <v>340</v>
      </c>
      <c r="W205" s="28" t="str">
        <f aca="false">'GaBi data'!D11</f>
        <v>NA</v>
      </c>
      <c r="X205" s="29"/>
      <c r="Y205" s="29"/>
      <c r="Z205" s="2"/>
      <c r="AA205" s="2"/>
      <c r="AB205" s="2"/>
      <c r="AC205" s="2"/>
      <c r="AD205" s="2"/>
      <c r="AE205" s="2"/>
      <c r="AF205" s="2"/>
      <c r="AG205" s="2"/>
    </row>
    <row r="206" s="30" customFormat="true" ht="157.5" hidden="false" customHeight="false" outlineLevel="0" collapsed="false">
      <c r="A206" s="2"/>
      <c r="B206" s="2" t="s">
        <v>335</v>
      </c>
      <c r="C206" s="3" t="s">
        <v>336</v>
      </c>
      <c r="D206" s="3" t="n">
        <v>2022</v>
      </c>
      <c r="E206" s="20" t="s">
        <v>337</v>
      </c>
      <c r="F206" s="3" t="s">
        <v>62</v>
      </c>
      <c r="G206" s="3" t="s">
        <v>46</v>
      </c>
      <c r="H206" s="3" t="s">
        <v>47</v>
      </c>
      <c r="I206" s="3" t="s">
        <v>47</v>
      </c>
      <c r="J206" s="3" t="n">
        <f aca="false">'GaBi data'!B12</f>
        <v>90</v>
      </c>
      <c r="K206" s="32" t="n">
        <v>300</v>
      </c>
      <c r="L206" s="3" t="s">
        <v>47</v>
      </c>
      <c r="M206" s="3" t="s">
        <v>78</v>
      </c>
      <c r="N206" s="3" t="s">
        <v>47</v>
      </c>
      <c r="O206" s="3" t="s">
        <v>338</v>
      </c>
      <c r="P206" s="3" t="s">
        <v>89</v>
      </c>
      <c r="Q206" s="3" t="s">
        <v>339</v>
      </c>
      <c r="R206" s="3" t="s">
        <v>58</v>
      </c>
      <c r="S206" s="3" t="s">
        <v>47</v>
      </c>
      <c r="T206" s="3" t="s">
        <v>82</v>
      </c>
      <c r="U206" s="3" t="s">
        <v>47</v>
      </c>
      <c r="V206" s="4" t="s">
        <v>340</v>
      </c>
      <c r="W206" s="28" t="str">
        <f aca="false">'GaBi data'!D12</f>
        <v>NA</v>
      </c>
      <c r="X206" s="29"/>
      <c r="Y206" s="29"/>
      <c r="Z206" s="2"/>
      <c r="AA206" s="2"/>
      <c r="AB206" s="2"/>
      <c r="AC206" s="2"/>
      <c r="AD206" s="2"/>
      <c r="AE206" s="2"/>
      <c r="AF206" s="2"/>
      <c r="AG206" s="2"/>
    </row>
    <row r="207" s="30" customFormat="true" ht="157.5" hidden="false" customHeight="false" outlineLevel="0" collapsed="false">
      <c r="A207" s="2"/>
      <c r="B207" s="2" t="s">
        <v>335</v>
      </c>
      <c r="C207" s="3" t="s">
        <v>336</v>
      </c>
      <c r="D207" s="3" t="n">
        <v>2022</v>
      </c>
      <c r="E207" s="20" t="s">
        <v>337</v>
      </c>
      <c r="F207" s="3" t="s">
        <v>62</v>
      </c>
      <c r="G207" s="3" t="s">
        <v>46</v>
      </c>
      <c r="H207" s="3" t="s">
        <v>47</v>
      </c>
      <c r="I207" s="3" t="s">
        <v>47</v>
      </c>
      <c r="J207" s="3" t="n">
        <f aca="false">'GaBi data'!B13</f>
        <v>65</v>
      </c>
      <c r="K207" s="32" t="n">
        <v>300</v>
      </c>
      <c r="L207" s="3" t="s">
        <v>47</v>
      </c>
      <c r="M207" s="3" t="s">
        <v>78</v>
      </c>
      <c r="N207" s="3" t="s">
        <v>47</v>
      </c>
      <c r="O207" s="3" t="s">
        <v>338</v>
      </c>
      <c r="P207" s="3" t="s">
        <v>89</v>
      </c>
      <c r="Q207" s="3" t="s">
        <v>339</v>
      </c>
      <c r="R207" s="3" t="s">
        <v>58</v>
      </c>
      <c r="S207" s="3" t="s">
        <v>47</v>
      </c>
      <c r="T207" s="3" t="s">
        <v>82</v>
      </c>
      <c r="U207" s="3" t="s">
        <v>47</v>
      </c>
      <c r="V207" s="4" t="s">
        <v>340</v>
      </c>
      <c r="W207" s="28" t="str">
        <f aca="false">'GaBi data'!D13</f>
        <v>NA</v>
      </c>
      <c r="X207" s="29"/>
      <c r="Y207" s="29"/>
      <c r="Z207" s="2"/>
      <c r="AA207" s="2"/>
      <c r="AB207" s="2"/>
      <c r="AC207" s="2"/>
      <c r="AD207" s="2"/>
      <c r="AE207" s="2"/>
      <c r="AF207" s="2"/>
      <c r="AG207" s="2"/>
    </row>
    <row r="208" s="30" customFormat="true" ht="157.5" hidden="false" customHeight="false" outlineLevel="0" collapsed="false">
      <c r="A208" s="2"/>
      <c r="B208" s="2" t="s">
        <v>335</v>
      </c>
      <c r="C208" s="3" t="s">
        <v>336</v>
      </c>
      <c r="D208" s="3" t="n">
        <v>2022</v>
      </c>
      <c r="E208" s="20" t="s">
        <v>337</v>
      </c>
      <c r="F208" s="3" t="s">
        <v>62</v>
      </c>
      <c r="G208" s="3" t="s">
        <v>46</v>
      </c>
      <c r="H208" s="3" t="s">
        <v>47</v>
      </c>
      <c r="I208" s="3" t="s">
        <v>47</v>
      </c>
      <c r="J208" s="3" t="n">
        <f aca="false">'GaBi data'!B14</f>
        <v>45</v>
      </c>
      <c r="K208" s="32" t="n">
        <v>300</v>
      </c>
      <c r="L208" s="3" t="s">
        <v>47</v>
      </c>
      <c r="M208" s="3" t="s">
        <v>78</v>
      </c>
      <c r="N208" s="3" t="s">
        <v>47</v>
      </c>
      <c r="O208" s="3" t="s">
        <v>338</v>
      </c>
      <c r="P208" s="3" t="s">
        <v>89</v>
      </c>
      <c r="Q208" s="3" t="s">
        <v>339</v>
      </c>
      <c r="R208" s="3" t="s">
        <v>58</v>
      </c>
      <c r="S208" s="3" t="s">
        <v>47</v>
      </c>
      <c r="T208" s="3" t="s">
        <v>82</v>
      </c>
      <c r="U208" s="3" t="s">
        <v>47</v>
      </c>
      <c r="V208" s="4" t="s">
        <v>340</v>
      </c>
      <c r="W208" s="28" t="str">
        <f aca="false">'GaBi data'!D14</f>
        <v>NA</v>
      </c>
      <c r="X208" s="29"/>
      <c r="Y208" s="29"/>
      <c r="Z208" s="2"/>
      <c r="AA208" s="2"/>
      <c r="AB208" s="2"/>
      <c r="AC208" s="2"/>
      <c r="AD208" s="2"/>
      <c r="AE208" s="2"/>
      <c r="AF208" s="2"/>
      <c r="AG208" s="2"/>
    </row>
    <row r="209" s="30" customFormat="true" ht="157.5" hidden="false" customHeight="false" outlineLevel="0" collapsed="false">
      <c r="A209" s="2"/>
      <c r="B209" s="2" t="s">
        <v>335</v>
      </c>
      <c r="C209" s="3" t="s">
        <v>336</v>
      </c>
      <c r="D209" s="3" t="n">
        <v>2022</v>
      </c>
      <c r="E209" s="20" t="s">
        <v>337</v>
      </c>
      <c r="F209" s="3" t="s">
        <v>62</v>
      </c>
      <c r="G209" s="3" t="s">
        <v>46</v>
      </c>
      <c r="H209" s="3" t="s">
        <v>47</v>
      </c>
      <c r="I209" s="3" t="s">
        <v>47</v>
      </c>
      <c r="J209" s="3" t="n">
        <f aca="false">'GaBi data'!B15</f>
        <v>32</v>
      </c>
      <c r="K209" s="32" t="n">
        <v>300</v>
      </c>
      <c r="L209" s="3" t="s">
        <v>47</v>
      </c>
      <c r="M209" s="3" t="s">
        <v>78</v>
      </c>
      <c r="N209" s="3" t="s">
        <v>47</v>
      </c>
      <c r="O209" s="3" t="s">
        <v>338</v>
      </c>
      <c r="P209" s="3" t="s">
        <v>89</v>
      </c>
      <c r="Q209" s="3" t="s">
        <v>339</v>
      </c>
      <c r="R209" s="3" t="s">
        <v>58</v>
      </c>
      <c r="S209" s="3" t="s">
        <v>47</v>
      </c>
      <c r="T209" s="3" t="s">
        <v>82</v>
      </c>
      <c r="U209" s="3" t="s">
        <v>47</v>
      </c>
      <c r="V209" s="4" t="s">
        <v>340</v>
      </c>
      <c r="W209" s="28" t="str">
        <f aca="false">'GaBi data'!D15</f>
        <v>NA</v>
      </c>
      <c r="X209" s="29"/>
      <c r="Y209" s="29"/>
      <c r="Z209" s="2"/>
      <c r="AA209" s="2"/>
      <c r="AB209" s="2"/>
      <c r="AC209" s="2"/>
      <c r="AD209" s="2"/>
      <c r="AE209" s="2"/>
      <c r="AF209" s="2"/>
      <c r="AG209" s="2"/>
    </row>
    <row r="210" s="30" customFormat="true" ht="157.5" hidden="false" customHeight="false" outlineLevel="0" collapsed="false">
      <c r="A210" s="2"/>
      <c r="B210" s="2" t="s">
        <v>335</v>
      </c>
      <c r="C210" s="3" t="s">
        <v>336</v>
      </c>
      <c r="D210" s="3" t="n">
        <v>2022</v>
      </c>
      <c r="E210" s="20" t="s">
        <v>337</v>
      </c>
      <c r="F210" s="3" t="s">
        <v>62</v>
      </c>
      <c r="G210" s="3" t="s">
        <v>46</v>
      </c>
      <c r="H210" s="3" t="s">
        <v>47</v>
      </c>
      <c r="I210" s="3" t="s">
        <v>47</v>
      </c>
      <c r="J210" s="3" t="n">
        <f aca="false">'GaBi data'!B16</f>
        <v>22</v>
      </c>
      <c r="K210" s="32" t="n">
        <v>300</v>
      </c>
      <c r="L210" s="3" t="s">
        <v>47</v>
      </c>
      <c r="M210" s="3" t="s">
        <v>78</v>
      </c>
      <c r="N210" s="3" t="s">
        <v>47</v>
      </c>
      <c r="O210" s="3" t="s">
        <v>338</v>
      </c>
      <c r="P210" s="3" t="s">
        <v>89</v>
      </c>
      <c r="Q210" s="3" t="s">
        <v>339</v>
      </c>
      <c r="R210" s="3" t="s">
        <v>58</v>
      </c>
      <c r="S210" s="3" t="s">
        <v>47</v>
      </c>
      <c r="T210" s="3" t="s">
        <v>82</v>
      </c>
      <c r="U210" s="3" t="s">
        <v>47</v>
      </c>
      <c r="V210" s="4" t="s">
        <v>340</v>
      </c>
      <c r="W210" s="28" t="str">
        <f aca="false">'GaBi data'!D16</f>
        <v>NA</v>
      </c>
      <c r="X210" s="29"/>
      <c r="Y210" s="29"/>
      <c r="Z210" s="2"/>
      <c r="AA210" s="2"/>
      <c r="AB210" s="2"/>
      <c r="AC210" s="2"/>
      <c r="AD210" s="2"/>
      <c r="AE210" s="2"/>
      <c r="AF210" s="2"/>
      <c r="AG210" s="2"/>
    </row>
    <row r="211" s="30" customFormat="true" ht="157.5" hidden="false" customHeight="false" outlineLevel="0" collapsed="false">
      <c r="A211" s="2"/>
      <c r="B211" s="2" t="s">
        <v>335</v>
      </c>
      <c r="C211" s="3" t="s">
        <v>336</v>
      </c>
      <c r="D211" s="3" t="n">
        <v>2022</v>
      </c>
      <c r="E211" s="20" t="s">
        <v>337</v>
      </c>
      <c r="F211" s="3" t="s">
        <v>62</v>
      </c>
      <c r="G211" s="3" t="s">
        <v>46</v>
      </c>
      <c r="H211" s="3" t="s">
        <v>47</v>
      </c>
      <c r="I211" s="3" t="s">
        <v>47</v>
      </c>
      <c r="J211" s="3" t="n">
        <f aca="false">'GaBi data'!B17</f>
        <v>14</v>
      </c>
      <c r="K211" s="32" t="n">
        <v>300</v>
      </c>
      <c r="L211" s="3" t="s">
        <v>47</v>
      </c>
      <c r="M211" s="3" t="s">
        <v>78</v>
      </c>
      <c r="N211" s="3" t="s">
        <v>47</v>
      </c>
      <c r="O211" s="3" t="s">
        <v>338</v>
      </c>
      <c r="P211" s="3" t="s">
        <v>89</v>
      </c>
      <c r="Q211" s="3" t="s">
        <v>339</v>
      </c>
      <c r="R211" s="3" t="s">
        <v>58</v>
      </c>
      <c r="S211" s="3" t="s">
        <v>47</v>
      </c>
      <c r="T211" s="3" t="s">
        <v>82</v>
      </c>
      <c r="U211" s="3" t="s">
        <v>47</v>
      </c>
      <c r="V211" s="4" t="s">
        <v>340</v>
      </c>
      <c r="W211" s="28" t="str">
        <f aca="false">'GaBi data'!D17</f>
        <v>NA</v>
      </c>
      <c r="X211" s="29"/>
      <c r="Y211" s="29"/>
      <c r="Z211" s="2"/>
      <c r="AA211" s="2"/>
      <c r="AB211" s="2"/>
      <c r="AC211" s="2"/>
      <c r="AD211" s="2"/>
      <c r="AE211" s="2"/>
      <c r="AF211" s="2"/>
      <c r="AG211" s="2"/>
    </row>
    <row r="212" s="30" customFormat="true" ht="173.25" hidden="false" customHeight="false" outlineLevel="0" collapsed="false">
      <c r="A212" s="2"/>
      <c r="B212" s="2" t="s">
        <v>335</v>
      </c>
      <c r="C212" s="3" t="s">
        <v>336</v>
      </c>
      <c r="D212" s="3" t="n">
        <v>2022</v>
      </c>
      <c r="E212" s="20" t="s">
        <v>337</v>
      </c>
      <c r="F212" s="3" t="s">
        <v>62</v>
      </c>
      <c r="G212" s="3" t="s">
        <v>341</v>
      </c>
      <c r="H212" s="3" t="s">
        <v>47</v>
      </c>
      <c r="I212" s="3" t="s">
        <v>47</v>
      </c>
      <c r="J212" s="3" t="n">
        <f aca="false">'GaBi data'!B19</f>
        <v>57</v>
      </c>
      <c r="K212" s="32" t="n">
        <v>300</v>
      </c>
      <c r="L212" s="3" t="s">
        <v>47</v>
      </c>
      <c r="M212" s="3" t="s">
        <v>74</v>
      </c>
      <c r="N212" s="3" t="s">
        <v>47</v>
      </c>
      <c r="O212" s="3" t="s">
        <v>338</v>
      </c>
      <c r="P212" s="3" t="s">
        <v>89</v>
      </c>
      <c r="Q212" s="3" t="s">
        <v>342</v>
      </c>
      <c r="R212" s="3" t="s">
        <v>58</v>
      </c>
      <c r="S212" s="3" t="s">
        <v>47</v>
      </c>
      <c r="T212" s="3" t="s">
        <v>125</v>
      </c>
      <c r="U212" s="3" t="s">
        <v>47</v>
      </c>
      <c r="V212" s="4" t="s">
        <v>343</v>
      </c>
      <c r="W212" s="28" t="str">
        <f aca="false">'GaBi data'!D19</f>
        <v>NA</v>
      </c>
      <c r="X212" s="29"/>
      <c r="Y212" s="29"/>
      <c r="Z212" s="2"/>
      <c r="AA212" s="2"/>
      <c r="AB212" s="2"/>
      <c r="AC212" s="2"/>
      <c r="AD212" s="2"/>
      <c r="AE212" s="2"/>
      <c r="AF212" s="2"/>
      <c r="AG212" s="2"/>
    </row>
    <row r="213" s="30" customFormat="true" ht="173.25" hidden="false" customHeight="false" outlineLevel="0" collapsed="false">
      <c r="A213" s="2"/>
      <c r="B213" s="2" t="s">
        <v>335</v>
      </c>
      <c r="C213" s="3" t="s">
        <v>336</v>
      </c>
      <c r="D213" s="3" t="n">
        <v>2022</v>
      </c>
      <c r="E213" s="20" t="s">
        <v>337</v>
      </c>
      <c r="F213" s="3" t="s">
        <v>62</v>
      </c>
      <c r="G213" s="3" t="s">
        <v>341</v>
      </c>
      <c r="H213" s="3" t="s">
        <v>47</v>
      </c>
      <c r="I213" s="3" t="s">
        <v>47</v>
      </c>
      <c r="J213" s="3" t="n">
        <f aca="false">'GaBi data'!B20</f>
        <v>45</v>
      </c>
      <c r="K213" s="32" t="n">
        <v>300</v>
      </c>
      <c r="L213" s="3" t="s">
        <v>47</v>
      </c>
      <c r="M213" s="3" t="s">
        <v>74</v>
      </c>
      <c r="N213" s="3" t="s">
        <v>47</v>
      </c>
      <c r="O213" s="3" t="s">
        <v>338</v>
      </c>
      <c r="P213" s="3" t="s">
        <v>89</v>
      </c>
      <c r="Q213" s="3" t="s">
        <v>342</v>
      </c>
      <c r="R213" s="3" t="s">
        <v>58</v>
      </c>
      <c r="S213" s="3" t="s">
        <v>47</v>
      </c>
      <c r="T213" s="3" t="s">
        <v>125</v>
      </c>
      <c r="U213" s="3" t="s">
        <v>47</v>
      </c>
      <c r="V213" s="4" t="s">
        <v>344</v>
      </c>
      <c r="W213" s="28" t="str">
        <f aca="false">'GaBi data'!D20</f>
        <v>NA</v>
      </c>
      <c r="X213" s="29"/>
      <c r="Y213" s="29"/>
      <c r="Z213" s="2"/>
      <c r="AA213" s="2"/>
      <c r="AB213" s="2"/>
      <c r="AC213" s="2"/>
      <c r="AD213" s="2"/>
      <c r="AE213" s="2"/>
      <c r="AF213" s="2"/>
      <c r="AG213" s="2"/>
    </row>
    <row r="214" s="47" customFormat="true" ht="15.75" hidden="false" customHeight="false" outlineLevel="0" collapsed="false">
      <c r="A214" s="40"/>
      <c r="B214" s="40"/>
      <c r="C214" s="41" t="s">
        <v>169</v>
      </c>
      <c r="D214" s="42"/>
      <c r="E214" s="43"/>
      <c r="F214" s="41" t="s">
        <v>169</v>
      </c>
      <c r="G214" s="42"/>
      <c r="H214" s="42"/>
      <c r="I214" s="42"/>
      <c r="J214" s="42"/>
      <c r="K214" s="42"/>
      <c r="L214" s="42"/>
      <c r="M214" s="42"/>
      <c r="N214" s="42"/>
      <c r="O214" s="42"/>
      <c r="P214" s="42"/>
      <c r="Q214" s="42"/>
      <c r="R214" s="42"/>
      <c r="S214" s="42"/>
      <c r="T214" s="42"/>
      <c r="U214" s="42"/>
      <c r="V214" s="44"/>
      <c r="W214" s="45"/>
      <c r="X214" s="46"/>
      <c r="Y214" s="46"/>
      <c r="Z214" s="40"/>
      <c r="AA214" s="40"/>
      <c r="AB214" s="40"/>
      <c r="AC214" s="40"/>
      <c r="AD214" s="40"/>
      <c r="AE214" s="40"/>
      <c r="AF214" s="40"/>
      <c r="AG214" s="40"/>
    </row>
    <row r="215" s="30" customFormat="true" ht="31.5" hidden="false" customHeight="false" outlineLevel="0" collapsed="false">
      <c r="A215" s="2"/>
      <c r="B215" s="2" t="s">
        <v>345</v>
      </c>
      <c r="C215" s="3" t="s">
        <v>346</v>
      </c>
      <c r="D215" s="3" t="n">
        <v>2019</v>
      </c>
      <c r="E215" s="20" t="s">
        <v>347</v>
      </c>
      <c r="F215" s="3" t="s">
        <v>62</v>
      </c>
      <c r="G215" s="3" t="s">
        <v>58</v>
      </c>
      <c r="H215" s="3" t="s">
        <v>47</v>
      </c>
      <c r="I215" s="3" t="s">
        <v>53</v>
      </c>
      <c r="J215" s="3" t="n">
        <v>130</v>
      </c>
      <c r="K215" s="3" t="n">
        <v>300</v>
      </c>
      <c r="L215" s="3" t="s">
        <v>114</v>
      </c>
      <c r="M215" s="3" t="s">
        <v>53</v>
      </c>
      <c r="N215" s="3" t="s">
        <v>47</v>
      </c>
      <c r="O215" s="20" t="s">
        <v>65</v>
      </c>
      <c r="P215" s="3" t="s">
        <v>89</v>
      </c>
      <c r="Q215" s="32" t="s">
        <v>50</v>
      </c>
      <c r="R215" s="3" t="s">
        <v>58</v>
      </c>
      <c r="S215" s="3" t="s">
        <v>78</v>
      </c>
      <c r="T215" s="3" t="s">
        <v>53</v>
      </c>
      <c r="U215" s="3" t="s">
        <v>47</v>
      </c>
      <c r="V215" s="4" t="s">
        <v>348</v>
      </c>
      <c r="W215" s="28" t="n">
        <f aca="false">'EIME data'!D6</f>
        <v>1.61</v>
      </c>
      <c r="X215" s="29"/>
      <c r="Y215" s="29"/>
      <c r="Z215" s="2"/>
      <c r="AA215" s="2"/>
      <c r="AB215" s="2"/>
      <c r="AC215" s="2"/>
      <c r="AD215" s="2"/>
      <c r="AE215" s="2"/>
      <c r="AF215" s="2"/>
      <c r="AG215" s="2"/>
    </row>
    <row r="216" s="30" customFormat="true" ht="31.5" hidden="false" customHeight="false" outlineLevel="0" collapsed="false">
      <c r="A216" s="2"/>
      <c r="B216" s="2" t="s">
        <v>345</v>
      </c>
      <c r="C216" s="3" t="s">
        <v>346</v>
      </c>
      <c r="D216" s="3" t="n">
        <v>2019</v>
      </c>
      <c r="E216" s="20" t="s">
        <v>347</v>
      </c>
      <c r="F216" s="3" t="s">
        <v>62</v>
      </c>
      <c r="G216" s="3" t="s">
        <v>58</v>
      </c>
      <c r="H216" s="3" t="s">
        <v>47</v>
      </c>
      <c r="I216" s="3" t="s">
        <v>53</v>
      </c>
      <c r="J216" s="3" t="n">
        <v>90</v>
      </c>
      <c r="K216" s="3" t="n">
        <v>300</v>
      </c>
      <c r="L216" s="3" t="s">
        <v>114</v>
      </c>
      <c r="M216" s="3" t="s">
        <v>53</v>
      </c>
      <c r="N216" s="3" t="s">
        <v>47</v>
      </c>
      <c r="O216" s="20" t="s">
        <v>65</v>
      </c>
      <c r="P216" s="3" t="s">
        <v>89</v>
      </c>
      <c r="Q216" s="32" t="s">
        <v>50</v>
      </c>
      <c r="R216" s="3" t="s">
        <v>58</v>
      </c>
      <c r="S216" s="3" t="s">
        <v>78</v>
      </c>
      <c r="T216" s="3" t="s">
        <v>53</v>
      </c>
      <c r="U216" s="3" t="s">
        <v>47</v>
      </c>
      <c r="V216" s="4" t="s">
        <v>348</v>
      </c>
      <c r="W216" s="28" t="n">
        <f aca="false">'EIME data'!D7</f>
        <v>2.12</v>
      </c>
      <c r="X216" s="29"/>
      <c r="Y216" s="29"/>
      <c r="Z216" s="2"/>
      <c r="AA216" s="2"/>
      <c r="AB216" s="2"/>
      <c r="AC216" s="2"/>
      <c r="AD216" s="2"/>
      <c r="AE216" s="2"/>
      <c r="AF216" s="2"/>
      <c r="AG216" s="2"/>
    </row>
    <row r="217" s="30" customFormat="true" ht="31.5" hidden="false" customHeight="false" outlineLevel="0" collapsed="false">
      <c r="A217" s="2"/>
      <c r="B217" s="2" t="s">
        <v>345</v>
      </c>
      <c r="C217" s="3" t="s">
        <v>346</v>
      </c>
      <c r="D217" s="3" t="n">
        <v>2019</v>
      </c>
      <c r="E217" s="20" t="s">
        <v>347</v>
      </c>
      <c r="F217" s="3" t="s">
        <v>62</v>
      </c>
      <c r="G217" s="3" t="s">
        <v>58</v>
      </c>
      <c r="H217" s="3" t="s">
        <v>47</v>
      </c>
      <c r="I217" s="3" t="s">
        <v>53</v>
      </c>
      <c r="J217" s="3" t="n">
        <v>28</v>
      </c>
      <c r="K217" s="3" t="n">
        <v>300</v>
      </c>
      <c r="L217" s="3" t="s">
        <v>114</v>
      </c>
      <c r="M217" s="3" t="s">
        <v>53</v>
      </c>
      <c r="N217" s="3" t="s">
        <v>47</v>
      </c>
      <c r="O217" s="20" t="s">
        <v>65</v>
      </c>
      <c r="P217" s="3" t="s">
        <v>89</v>
      </c>
      <c r="Q217" s="32" t="s">
        <v>50</v>
      </c>
      <c r="R217" s="3" t="s">
        <v>58</v>
      </c>
      <c r="S217" s="3" t="s">
        <v>78</v>
      </c>
      <c r="T217" s="3" t="s">
        <v>53</v>
      </c>
      <c r="U217" s="3" t="s">
        <v>47</v>
      </c>
      <c r="V217" s="4" t="s">
        <v>348</v>
      </c>
      <c r="W217" s="28" t="n">
        <f aca="false">'EIME data'!D9</f>
        <v>2.73</v>
      </c>
      <c r="X217" s="29"/>
      <c r="Y217" s="29"/>
      <c r="Z217" s="2"/>
      <c r="AA217" s="2"/>
      <c r="AB217" s="2"/>
      <c r="AC217" s="2"/>
      <c r="AD217" s="2"/>
      <c r="AE217" s="2"/>
      <c r="AF217" s="2"/>
      <c r="AG217" s="2"/>
    </row>
    <row r="218" s="30" customFormat="true" ht="31.5" hidden="false" customHeight="false" outlineLevel="0" collapsed="false">
      <c r="A218" s="2"/>
      <c r="B218" s="2" t="s">
        <v>345</v>
      </c>
      <c r="C218" s="3" t="s">
        <v>346</v>
      </c>
      <c r="D218" s="3" t="n">
        <v>2019</v>
      </c>
      <c r="E218" s="20" t="s">
        <v>347</v>
      </c>
      <c r="F218" s="3" t="s">
        <v>62</v>
      </c>
      <c r="G218" s="3" t="s">
        <v>58</v>
      </c>
      <c r="H218" s="3" t="s">
        <v>47</v>
      </c>
      <c r="I218" s="3" t="s">
        <v>53</v>
      </c>
      <c r="J218" s="3" t="n">
        <v>16</v>
      </c>
      <c r="K218" s="3" t="n">
        <v>300</v>
      </c>
      <c r="L218" s="3" t="s">
        <v>114</v>
      </c>
      <c r="M218" s="3" t="s">
        <v>53</v>
      </c>
      <c r="N218" s="3" t="s">
        <v>47</v>
      </c>
      <c r="O218" s="20" t="s">
        <v>65</v>
      </c>
      <c r="P218" s="3" t="s">
        <v>89</v>
      </c>
      <c r="Q218" s="32" t="s">
        <v>50</v>
      </c>
      <c r="R218" s="3" t="s">
        <v>58</v>
      </c>
      <c r="S218" s="3" t="s">
        <v>78</v>
      </c>
      <c r="T218" s="3" t="s">
        <v>53</v>
      </c>
      <c r="U218" s="3" t="s">
        <v>47</v>
      </c>
      <c r="V218" s="4" t="s">
        <v>348</v>
      </c>
      <c r="W218" s="28" t="n">
        <f aca="false">'EIME data'!D10</f>
        <v>3</v>
      </c>
      <c r="X218" s="29"/>
      <c r="Y218" s="29"/>
      <c r="Z218" s="2"/>
      <c r="AA218" s="2"/>
      <c r="AB218" s="2"/>
      <c r="AC218" s="2"/>
      <c r="AD218" s="2"/>
      <c r="AE218" s="2"/>
      <c r="AF218" s="2"/>
      <c r="AG218" s="2"/>
    </row>
    <row r="219" s="30" customFormat="true" ht="31.5" hidden="false" customHeight="false" outlineLevel="0" collapsed="false">
      <c r="A219" s="56"/>
      <c r="B219" s="2" t="s">
        <v>345</v>
      </c>
      <c r="C219" s="3" t="s">
        <v>346</v>
      </c>
      <c r="D219" s="3" t="n">
        <v>2019</v>
      </c>
      <c r="E219" s="20" t="s">
        <v>347</v>
      </c>
      <c r="F219" s="3" t="s">
        <v>62</v>
      </c>
      <c r="G219" s="3" t="s">
        <v>58</v>
      </c>
      <c r="H219" s="3" t="s">
        <v>47</v>
      </c>
      <c r="I219" s="3" t="s">
        <v>53</v>
      </c>
      <c r="J219" s="3" t="n">
        <v>14</v>
      </c>
      <c r="K219" s="3" t="n">
        <v>300</v>
      </c>
      <c r="L219" s="3" t="s">
        <v>114</v>
      </c>
      <c r="M219" s="3" t="s">
        <v>53</v>
      </c>
      <c r="N219" s="3" t="s">
        <v>47</v>
      </c>
      <c r="O219" s="20" t="s">
        <v>65</v>
      </c>
      <c r="P219" s="3" t="s">
        <v>89</v>
      </c>
      <c r="Q219" s="32" t="s">
        <v>50</v>
      </c>
      <c r="R219" s="3" t="s">
        <v>58</v>
      </c>
      <c r="S219" s="3" t="s">
        <v>78</v>
      </c>
      <c r="T219" s="3" t="s">
        <v>53</v>
      </c>
      <c r="U219" s="3" t="s">
        <v>47</v>
      </c>
      <c r="V219" s="4" t="s">
        <v>348</v>
      </c>
      <c r="W219" s="28" t="n">
        <f aca="false">'EIME data'!D11</f>
        <v>3.16</v>
      </c>
      <c r="X219" s="29"/>
      <c r="Y219" s="29"/>
      <c r="Z219" s="2"/>
      <c r="AA219" s="2"/>
      <c r="AB219" s="2"/>
      <c r="AC219" s="2"/>
      <c r="AD219" s="2"/>
      <c r="AE219" s="2"/>
      <c r="AF219" s="2"/>
      <c r="AG219" s="2"/>
    </row>
    <row r="220" s="30" customFormat="true" ht="31.5" hidden="false" customHeight="false" outlineLevel="0" collapsed="false">
      <c r="A220" s="57"/>
      <c r="B220" s="2" t="s">
        <v>345</v>
      </c>
      <c r="C220" s="3" t="s">
        <v>346</v>
      </c>
      <c r="D220" s="3" t="n">
        <v>2019</v>
      </c>
      <c r="E220" s="20" t="s">
        <v>347</v>
      </c>
      <c r="F220" s="3" t="s">
        <v>62</v>
      </c>
      <c r="G220" s="3" t="s">
        <v>58</v>
      </c>
      <c r="H220" s="3" t="s">
        <v>47</v>
      </c>
      <c r="I220" s="3" t="s">
        <v>53</v>
      </c>
      <c r="J220" s="3" t="n">
        <v>12</v>
      </c>
      <c r="K220" s="3" t="n">
        <v>300</v>
      </c>
      <c r="L220" s="3" t="s">
        <v>114</v>
      </c>
      <c r="M220" s="3" t="s">
        <v>53</v>
      </c>
      <c r="N220" s="3" t="s">
        <v>47</v>
      </c>
      <c r="O220" s="20" t="s">
        <v>65</v>
      </c>
      <c r="P220" s="3" t="s">
        <v>89</v>
      </c>
      <c r="Q220" s="32" t="s">
        <v>50</v>
      </c>
      <c r="R220" s="3" t="s">
        <v>58</v>
      </c>
      <c r="S220" s="3" t="s">
        <v>78</v>
      </c>
      <c r="T220" s="3" t="s">
        <v>53</v>
      </c>
      <c r="U220" s="3" t="s">
        <v>47</v>
      </c>
      <c r="V220" s="4" t="s">
        <v>348</v>
      </c>
      <c r="W220" s="28" t="n">
        <f aca="false">'EIME data'!D12</f>
        <v>3.48</v>
      </c>
      <c r="X220" s="29"/>
      <c r="Y220" s="29"/>
      <c r="Z220" s="2"/>
      <c r="AA220" s="2"/>
      <c r="AB220" s="2"/>
      <c r="AC220" s="2"/>
      <c r="AD220" s="2"/>
      <c r="AE220" s="2"/>
      <c r="AF220" s="2"/>
      <c r="AG220" s="2"/>
    </row>
    <row r="221" s="30" customFormat="true" ht="31.5" hidden="false" customHeight="false" outlineLevel="0" collapsed="false">
      <c r="A221" s="2"/>
      <c r="B221" s="2" t="s">
        <v>345</v>
      </c>
      <c r="C221" s="3" t="s">
        <v>346</v>
      </c>
      <c r="D221" s="3" t="n">
        <v>2019</v>
      </c>
      <c r="E221" s="20" t="s">
        <v>347</v>
      </c>
      <c r="F221" s="3" t="s">
        <v>62</v>
      </c>
      <c r="G221" s="3" t="s">
        <v>58</v>
      </c>
      <c r="H221" s="3" t="s">
        <v>47</v>
      </c>
      <c r="I221" s="3" t="s">
        <v>53</v>
      </c>
      <c r="J221" s="3" t="n">
        <v>8</v>
      </c>
      <c r="K221" s="3" t="n">
        <v>300</v>
      </c>
      <c r="L221" s="3" t="s">
        <v>114</v>
      </c>
      <c r="M221" s="3" t="s">
        <v>53</v>
      </c>
      <c r="N221" s="3" t="s">
        <v>47</v>
      </c>
      <c r="O221" s="20" t="s">
        <v>65</v>
      </c>
      <c r="P221" s="3" t="s">
        <v>89</v>
      </c>
      <c r="Q221" s="32" t="s">
        <v>50</v>
      </c>
      <c r="R221" s="3" t="s">
        <v>58</v>
      </c>
      <c r="S221" s="3" t="s">
        <v>78</v>
      </c>
      <c r="T221" s="3" t="s">
        <v>53</v>
      </c>
      <c r="U221" s="3" t="s">
        <v>47</v>
      </c>
      <c r="V221" s="4" t="s">
        <v>348</v>
      </c>
      <c r="W221" s="28" t="n">
        <f aca="false">'EIME data'!D13</f>
        <v>3.81</v>
      </c>
      <c r="X221" s="29"/>
      <c r="Y221" s="29"/>
      <c r="Z221" s="2"/>
      <c r="AA221" s="2"/>
      <c r="AB221" s="2"/>
      <c r="AC221" s="2"/>
      <c r="AD221" s="2"/>
      <c r="AE221" s="2"/>
      <c r="AF221" s="2"/>
      <c r="AG221" s="2"/>
    </row>
    <row r="222" s="30" customFormat="true" ht="31.5" hidden="false" customHeight="false" outlineLevel="0" collapsed="false">
      <c r="A222" s="2"/>
      <c r="B222" s="2" t="s">
        <v>345</v>
      </c>
      <c r="C222" s="3" t="s">
        <v>346</v>
      </c>
      <c r="D222" s="3" t="n">
        <v>2019</v>
      </c>
      <c r="E222" s="20" t="s">
        <v>347</v>
      </c>
      <c r="F222" s="3" t="s">
        <v>62</v>
      </c>
      <c r="G222" s="3" t="s">
        <v>58</v>
      </c>
      <c r="H222" s="3" t="s">
        <v>47</v>
      </c>
      <c r="I222" s="3" t="s">
        <v>53</v>
      </c>
      <c r="J222" s="3" t="n">
        <v>7</v>
      </c>
      <c r="K222" s="3" t="n">
        <v>300</v>
      </c>
      <c r="L222" s="3" t="s">
        <v>114</v>
      </c>
      <c r="M222" s="3" t="s">
        <v>53</v>
      </c>
      <c r="N222" s="3" t="s">
        <v>47</v>
      </c>
      <c r="O222" s="20" t="s">
        <v>65</v>
      </c>
      <c r="P222" s="3" t="s">
        <v>89</v>
      </c>
      <c r="Q222" s="32" t="s">
        <v>50</v>
      </c>
      <c r="R222" s="3" t="s">
        <v>58</v>
      </c>
      <c r="S222" s="3" t="s">
        <v>78</v>
      </c>
      <c r="T222" s="3" t="s">
        <v>53</v>
      </c>
      <c r="U222" s="3" t="s">
        <v>47</v>
      </c>
      <c r="V222" s="4" t="s">
        <v>348</v>
      </c>
      <c r="W222" s="28" t="n">
        <f aca="false">'EIME data'!D14</f>
        <v>4.07</v>
      </c>
      <c r="X222" s="29"/>
      <c r="Y222" s="29"/>
      <c r="Z222" s="2"/>
      <c r="AA222" s="2"/>
      <c r="AB222" s="2"/>
      <c r="AC222" s="2"/>
      <c r="AD222" s="2"/>
      <c r="AE222" s="2"/>
      <c r="AF222" s="2"/>
      <c r="AG222" s="2"/>
    </row>
    <row r="223" s="47" customFormat="true" ht="15.75" hidden="false" customHeight="false" outlineLevel="0" collapsed="false">
      <c r="A223" s="40"/>
      <c r="B223" s="40"/>
      <c r="C223" s="41" t="s">
        <v>169</v>
      </c>
      <c r="D223" s="42"/>
      <c r="E223" s="43"/>
      <c r="F223" s="41" t="s">
        <v>169</v>
      </c>
      <c r="G223" s="42"/>
      <c r="H223" s="42"/>
      <c r="I223" s="42"/>
      <c r="J223" s="42"/>
      <c r="K223" s="42"/>
      <c r="L223" s="42"/>
      <c r="M223" s="42"/>
      <c r="N223" s="42"/>
      <c r="O223" s="42"/>
      <c r="P223" s="42"/>
      <c r="Q223" s="42"/>
      <c r="R223" s="42"/>
      <c r="S223" s="42"/>
      <c r="T223" s="42"/>
      <c r="U223" s="42"/>
      <c r="V223" s="44"/>
      <c r="W223" s="45"/>
      <c r="X223" s="46"/>
      <c r="Y223" s="46"/>
      <c r="Z223" s="40"/>
      <c r="AA223" s="40"/>
      <c r="AB223" s="40"/>
      <c r="AC223" s="40"/>
      <c r="AD223" s="40"/>
      <c r="AE223" s="40"/>
      <c r="AF223" s="40"/>
      <c r="AG223" s="40"/>
    </row>
    <row r="224" s="30" customFormat="true" ht="157.5" hidden="false" customHeight="false" outlineLevel="0" collapsed="false">
      <c r="A224" s="2"/>
      <c r="B224" s="2" t="s">
        <v>349</v>
      </c>
      <c r="C224" s="3" t="s">
        <v>349</v>
      </c>
      <c r="D224" s="32" t="n">
        <v>2016</v>
      </c>
      <c r="E224" s="20" t="s">
        <v>350</v>
      </c>
      <c r="F224" s="3" t="s">
        <v>62</v>
      </c>
      <c r="G224" s="3" t="s">
        <v>46</v>
      </c>
      <c r="H224" s="3" t="s">
        <v>47</v>
      </c>
      <c r="I224" s="3" t="s">
        <v>47</v>
      </c>
      <c r="J224" s="32" t="s">
        <v>75</v>
      </c>
      <c r="K224" s="32" t="s">
        <v>351</v>
      </c>
      <c r="L224" s="32" t="s">
        <v>90</v>
      </c>
      <c r="M224" s="32" t="s">
        <v>78</v>
      </c>
      <c r="N224" s="32" t="s">
        <v>82</v>
      </c>
      <c r="O224" s="3" t="s">
        <v>352</v>
      </c>
      <c r="P224" s="3" t="s">
        <v>89</v>
      </c>
      <c r="Q224" s="3" t="s">
        <v>61</v>
      </c>
      <c r="R224" s="32" t="s">
        <v>53</v>
      </c>
      <c r="S224" s="3" t="s">
        <v>73</v>
      </c>
      <c r="T224" s="3" t="s">
        <v>47</v>
      </c>
      <c r="U224" s="3" t="s">
        <v>53</v>
      </c>
      <c r="V224" s="4" t="s">
        <v>353</v>
      </c>
      <c r="W224" s="28" t="n">
        <f aca="false">'EcoInvent data'!H22</f>
        <v>7.5</v>
      </c>
      <c r="X224" s="29"/>
      <c r="Y224" s="29"/>
      <c r="Z224" s="2"/>
      <c r="AA224" s="2"/>
      <c r="AB224" s="2"/>
      <c r="AC224" s="2"/>
      <c r="AD224" s="2"/>
      <c r="AE224" s="2"/>
      <c r="AF224" s="2"/>
      <c r="AG224" s="2"/>
    </row>
    <row r="225" s="24" customFormat="true" ht="15.75" hidden="false" customHeight="false" outlineLevel="0" collapsed="false">
      <c r="A225" s="58"/>
      <c r="W225" s="25"/>
    </row>
    <row r="226" customFormat="false" ht="15.75" hidden="false" customHeight="false" outlineLevel="0" collapsed="false">
      <c r="A226" s="2"/>
    </row>
    <row r="227" customFormat="false" ht="15.75" hidden="false" customHeight="false" outlineLevel="0" collapsed="false">
      <c r="A227" s="2"/>
    </row>
    <row r="228" customFormat="false" ht="15.75" hidden="false" customHeight="false" outlineLevel="0" collapsed="false">
      <c r="A228" s="2"/>
    </row>
    <row r="229" customFormat="false" ht="15.75" hidden="false" customHeight="false" outlineLevel="0" collapsed="false">
      <c r="A229" s="2"/>
    </row>
    <row r="230" customFormat="false" ht="15.75" hidden="false" customHeight="false" outlineLevel="0" collapsed="false">
      <c r="A230" s="2"/>
    </row>
    <row r="231" customFormat="false" ht="15.75" hidden="false" customHeight="false" outlineLevel="0" collapsed="false">
      <c r="A231" s="2"/>
    </row>
    <row r="232" customFormat="false" ht="15.75" hidden="false" customHeight="false" outlineLevel="0" collapsed="false">
      <c r="A232" s="57"/>
    </row>
    <row r="233" customFormat="false" ht="15.75" hidden="false" customHeight="false" outlineLevel="0" collapsed="false">
      <c r="A233" s="2"/>
    </row>
    <row r="234" customFormat="false" ht="15.75" hidden="false" customHeight="false" outlineLevel="0" collapsed="false">
      <c r="A234" s="2"/>
    </row>
    <row r="235" customFormat="false" ht="15.75" hidden="false" customHeight="false" outlineLevel="0" collapsed="false">
      <c r="A235" s="2"/>
    </row>
    <row r="236" customFormat="false" ht="15.75" hidden="false" customHeight="false" outlineLevel="0" collapsed="false">
      <c r="A236" s="2"/>
    </row>
    <row r="237" customFormat="false" ht="15.75" hidden="false" customHeight="false" outlineLevel="0" collapsed="false">
      <c r="A237" s="2"/>
    </row>
    <row r="238" customFormat="false" ht="15.75" hidden="false" customHeight="false" outlineLevel="0" collapsed="false">
      <c r="A238" s="2"/>
    </row>
    <row r="239" customFormat="false" ht="15.75" hidden="false" customHeight="false" outlineLevel="0" collapsed="false">
      <c r="A239" s="2"/>
    </row>
    <row r="240" customFormat="false" ht="15.75" hidden="false" customHeight="false" outlineLevel="0" collapsed="false">
      <c r="A240" s="2"/>
    </row>
    <row r="241" customFormat="false" ht="15.75" hidden="false" customHeight="false" outlineLevel="0" collapsed="false">
      <c r="A241" s="2"/>
    </row>
    <row r="242" customFormat="false" ht="15.75" hidden="false" customHeight="false" outlineLevel="0" collapsed="false">
      <c r="A242" s="2"/>
    </row>
    <row r="243" customFormat="false" ht="15.75" hidden="false" customHeight="false" outlineLevel="0" collapsed="false">
      <c r="A243" s="2"/>
    </row>
    <row r="244" customFormat="false" ht="15.75" hidden="false" customHeight="false" outlineLevel="0" collapsed="false">
      <c r="A244" s="57"/>
    </row>
    <row r="245" customFormat="false" ht="15.75" hidden="false" customHeight="false" outlineLevel="0" collapsed="false">
      <c r="A245" s="2"/>
    </row>
    <row r="246" customFormat="false" ht="15.75" hidden="false" customHeight="false" outlineLevel="0" collapsed="false">
      <c r="A246" s="2"/>
    </row>
    <row r="247" customFormat="false" ht="15.75" hidden="false" customHeight="false" outlineLevel="0" collapsed="false">
      <c r="A247" s="2"/>
    </row>
    <row r="248" customFormat="false" ht="15.75" hidden="false" customHeight="false" outlineLevel="0" collapsed="false">
      <c r="A248" s="2"/>
    </row>
    <row r="249" customFormat="false" ht="15.75" hidden="false" customHeight="false" outlineLevel="0" collapsed="false">
      <c r="A249" s="2"/>
    </row>
    <row r="250" customFormat="false" ht="15.75" hidden="false" customHeight="false" outlineLevel="0" collapsed="false">
      <c r="A250" s="2"/>
    </row>
    <row r="251" customFormat="false" ht="15.75" hidden="false" customHeight="false" outlineLevel="0" collapsed="false">
      <c r="A251" s="2"/>
    </row>
    <row r="252" customFormat="false" ht="15.75" hidden="false" customHeight="false" outlineLevel="0" collapsed="false">
      <c r="A252" s="2"/>
    </row>
    <row r="253" customFormat="false" ht="15.75" hidden="false" customHeight="false" outlineLevel="0" collapsed="false">
      <c r="A253" s="2"/>
    </row>
    <row r="254" customFormat="false" ht="15.75" hidden="false" customHeight="false" outlineLevel="0" collapsed="false">
      <c r="A254" s="2"/>
    </row>
    <row r="255" customFormat="false" ht="15.75" hidden="false" customHeight="false" outlineLevel="0" collapsed="false">
      <c r="A255" s="57"/>
    </row>
    <row r="256" customFormat="false" ht="15.75" hidden="false" customHeight="false" outlineLevel="0" collapsed="false">
      <c r="A256" s="2"/>
    </row>
    <row r="257" customFormat="false" ht="15.75" hidden="false" customHeight="false" outlineLevel="0" collapsed="false">
      <c r="A257" s="2"/>
    </row>
    <row r="258" customFormat="false" ht="15.75" hidden="false" customHeight="false" outlineLevel="0" collapsed="false">
      <c r="A258" s="2"/>
    </row>
    <row r="259" customFormat="false" ht="15.75" hidden="false" customHeight="false" outlineLevel="0" collapsed="false">
      <c r="A259" s="2"/>
    </row>
    <row r="260" customFormat="false" ht="15.75" hidden="false" customHeight="false" outlineLevel="0" collapsed="false">
      <c r="A260" s="2"/>
    </row>
    <row r="261" customFormat="false" ht="15.75" hidden="false" customHeight="false" outlineLevel="0" collapsed="false">
      <c r="A261" s="2"/>
    </row>
    <row r="262" customFormat="false" ht="15.75" hidden="false" customHeight="false" outlineLevel="0" collapsed="false">
      <c r="A262" s="2"/>
    </row>
    <row r="263" customFormat="false" ht="15.75" hidden="false" customHeight="false" outlineLevel="0" collapsed="false">
      <c r="A263" s="2"/>
    </row>
    <row r="264" customFormat="false" ht="15.75" hidden="false" customHeight="false" outlineLevel="0" collapsed="false">
      <c r="A264" s="2"/>
    </row>
    <row r="265" customFormat="false" ht="15.75" hidden="false" customHeight="false" outlineLevel="0" collapsed="false">
      <c r="A265" s="2"/>
    </row>
    <row r="266" customFormat="false" ht="15.75" hidden="false" customHeight="false" outlineLevel="0" collapsed="false">
      <c r="A266" s="57"/>
    </row>
    <row r="267" customFormat="false" ht="15.75" hidden="false" customHeight="false" outlineLevel="0" collapsed="false">
      <c r="A267" s="2"/>
    </row>
    <row r="268" customFormat="false" ht="15.75" hidden="false" customHeight="false" outlineLevel="0" collapsed="false">
      <c r="A268" s="2"/>
    </row>
    <row r="269" customFormat="false" ht="15.75" hidden="false" customHeight="false" outlineLevel="0" collapsed="false">
      <c r="A269" s="2"/>
    </row>
    <row r="270" customFormat="false" ht="15.75" hidden="false" customHeight="false" outlineLevel="0" collapsed="false">
      <c r="A270" s="2"/>
    </row>
    <row r="271" customFormat="false" ht="15.75" hidden="false" customHeight="false" outlineLevel="0" collapsed="false">
      <c r="A271" s="2"/>
    </row>
    <row r="272" customFormat="false" ht="15.75" hidden="false" customHeight="false" outlineLevel="0" collapsed="false">
      <c r="A272" s="2"/>
    </row>
    <row r="273" customFormat="false" ht="15.75" hidden="false" customHeight="false" outlineLevel="0" collapsed="false">
      <c r="A273" s="2"/>
    </row>
    <row r="274" customFormat="false" ht="15.75" hidden="false" customHeight="false" outlineLevel="0" collapsed="false">
      <c r="A274" s="2"/>
    </row>
    <row r="275" customFormat="false" ht="15.75" hidden="false" customHeight="false" outlineLevel="0" collapsed="false">
      <c r="A275" s="2"/>
    </row>
    <row r="276" customFormat="false" ht="15.75" hidden="false" customHeight="false" outlineLevel="0" collapsed="false">
      <c r="A276" s="2"/>
    </row>
    <row r="277" customFormat="false" ht="15.75" hidden="false" customHeight="false" outlineLevel="0" collapsed="false">
      <c r="A277" s="57"/>
    </row>
    <row r="278" customFormat="false" ht="15.75" hidden="false" customHeight="false" outlineLevel="0" collapsed="false">
      <c r="A278" s="2"/>
    </row>
    <row r="279" customFormat="false" ht="15.75" hidden="false" customHeight="false" outlineLevel="0" collapsed="false">
      <c r="A279" s="56"/>
    </row>
    <row r="280" customFormat="false" ht="15.75" hidden="false" customHeight="false" outlineLevel="0" collapsed="false">
      <c r="A280" s="2"/>
    </row>
    <row r="281" customFormat="false" ht="15.75" hidden="false" customHeight="false" outlineLevel="0" collapsed="false">
      <c r="A281" s="2"/>
    </row>
    <row r="282" customFormat="false" ht="15.75" hidden="false" customHeight="false" outlineLevel="0" collapsed="false">
      <c r="A282" s="2"/>
    </row>
    <row r="283" customFormat="false" ht="15.75" hidden="false" customHeight="false" outlineLevel="0" collapsed="false">
      <c r="A283" s="2"/>
    </row>
    <row r="284" customFormat="false" ht="15.75" hidden="false" customHeight="false" outlineLevel="0" collapsed="false">
      <c r="A284" s="2"/>
    </row>
    <row r="285" customFormat="false" ht="15.75" hidden="false" customHeight="false" outlineLevel="0" collapsed="false">
      <c r="A285" s="2"/>
    </row>
    <row r="286" customFormat="false" ht="15.75" hidden="false" customHeight="false" outlineLevel="0" collapsed="false">
      <c r="A286" s="2"/>
    </row>
    <row r="287" customFormat="false" ht="15.75" hidden="false" customHeight="false" outlineLevel="0" collapsed="false">
      <c r="A287" s="2"/>
    </row>
    <row r="288" customFormat="false" ht="15.75" hidden="false" customHeight="false" outlineLevel="0" collapsed="false">
      <c r="A288" s="2"/>
    </row>
    <row r="289" customFormat="false" ht="15.75" hidden="false" customHeight="false" outlineLevel="0" collapsed="false">
      <c r="A289" s="2"/>
    </row>
    <row r="290" customFormat="false" ht="15.75" hidden="false" customHeight="false" outlineLevel="0" collapsed="false">
      <c r="A290" s="2"/>
    </row>
    <row r="291" customFormat="false" ht="15.75" hidden="false" customHeight="false" outlineLevel="0" collapsed="false">
      <c r="A291" s="2"/>
    </row>
    <row r="292" customFormat="false" ht="15.75" hidden="false" customHeight="false" outlineLevel="0" collapsed="false">
      <c r="A292" s="2"/>
    </row>
    <row r="293" customFormat="false" ht="15.75" hidden="false" customHeight="false" outlineLevel="0" collapsed="false">
      <c r="A293" s="2"/>
    </row>
    <row r="294" customFormat="false" ht="15.75" hidden="false" customHeight="false" outlineLevel="0" collapsed="false">
      <c r="A294" s="2"/>
    </row>
    <row r="295" customFormat="false" ht="15.75" hidden="false" customHeight="false" outlineLevel="0" collapsed="false">
      <c r="A295" s="56"/>
    </row>
    <row r="296" customFormat="false" ht="15.75" hidden="false" customHeight="false" outlineLevel="0" collapsed="false">
      <c r="A296" s="2"/>
    </row>
    <row r="297" customFormat="false" ht="15.75" hidden="false" customHeight="false" outlineLevel="0" collapsed="false">
      <c r="A297" s="2"/>
    </row>
    <row r="298" customFormat="false" ht="15.75" hidden="false" customHeight="false" outlineLevel="0" collapsed="false">
      <c r="A298" s="2"/>
    </row>
    <row r="299" customFormat="false" ht="15.75" hidden="false" customHeight="false" outlineLevel="0" collapsed="false">
      <c r="A299" s="2"/>
    </row>
    <row r="300" customFormat="false" ht="15.75" hidden="false" customHeight="false" outlineLevel="0" collapsed="false">
      <c r="A300" s="2"/>
    </row>
    <row r="301" customFormat="false" ht="15.75" hidden="false" customHeight="false" outlineLevel="0" collapsed="false">
      <c r="A301" s="2"/>
    </row>
    <row r="302" customFormat="false" ht="15.75" hidden="false" customHeight="false" outlineLevel="0" collapsed="false">
      <c r="A302" s="2"/>
    </row>
    <row r="303" customFormat="false" ht="15.75" hidden="false" customHeight="false" outlineLevel="0" collapsed="false">
      <c r="A303" s="2"/>
    </row>
    <row r="304" customFormat="false" ht="15.75" hidden="false" customHeight="false" outlineLevel="0" collapsed="false">
      <c r="A304" s="2"/>
    </row>
    <row r="305" customFormat="false" ht="15.75" hidden="false" customHeight="false" outlineLevel="0" collapsed="false">
      <c r="A305" s="2"/>
    </row>
    <row r="306" customFormat="false" ht="15.75" hidden="false" customHeight="false" outlineLevel="0" collapsed="false">
      <c r="A306" s="2"/>
    </row>
    <row r="307" customFormat="false" ht="15.75" hidden="false" customHeight="false" outlineLevel="0" collapsed="false">
      <c r="A307" s="2"/>
    </row>
    <row r="308" customFormat="false" ht="15.75" hidden="false" customHeight="false" outlineLevel="0" collapsed="false">
      <c r="A308" s="2"/>
    </row>
    <row r="309" customFormat="false" ht="15.75" hidden="false" customHeight="false" outlineLevel="0" collapsed="false">
      <c r="A309" s="2"/>
    </row>
    <row r="310" customFormat="false" ht="15.75" hidden="false" customHeight="false" outlineLevel="0" collapsed="false">
      <c r="A310" s="2"/>
    </row>
    <row r="311" customFormat="false" ht="15.75" hidden="false" customHeight="false" outlineLevel="0" collapsed="false">
      <c r="A311" s="2"/>
    </row>
    <row r="312" customFormat="false" ht="15.75" hidden="false" customHeight="false" outlineLevel="0" collapsed="false">
      <c r="A312" s="2"/>
    </row>
    <row r="313" customFormat="false" ht="15.75" hidden="false" customHeight="false" outlineLevel="0" collapsed="false">
      <c r="A313" s="59"/>
    </row>
    <row r="1048576" customFormat="false" ht="12.8" hidden="false" customHeight="false" outlineLevel="0" collapsed="false"/>
  </sheetData>
  <autoFilter ref="J1:J224"/>
  <mergeCells count="1">
    <mergeCell ref="B2:W2"/>
  </mergeCells>
  <hyperlinks>
    <hyperlink ref="E6" r:id="rId1" display="https://www.fairphone.com/wp-content/uploads/2016/11/Fairphone_2_LCA_Final_20161122.pdf"/>
    <hyperlink ref="E7" r:id="rId2" display="https://www.fairphone.com/wp-content/uploads/2020/07/Fairphone_3_LCA.pdf "/>
    <hyperlink ref="E8" r:id="rId3" display="http://link.springer.com/10.1007/978-1-4419-9988-7"/>
    <hyperlink ref="E9" r:id="rId4" display="http://link.springer.com/10.1007/978-1-4419-9988-8"/>
    <hyperlink ref="E10" r:id="rId5" display="http://link.springer.com/10.1007/978-1-4419-9988-9"/>
    <hyperlink ref="E11" r:id="rId6" display="http://link.springer.com/10.1007/978-1-4419-9988-10"/>
    <hyperlink ref="E12" r:id="rId7" display="http://link.springer.com/10.1007/978-1-4419-9988-11"/>
    <hyperlink ref="E13" r:id="rId8" display="http://link.springer.com/10.1007/978-1-4419-9988-12"/>
    <hyperlink ref="E14" r:id="rId9" display="http://link.springer.com/10.1007/978-1-4419-9988-13"/>
    <hyperlink ref="E15" r:id="rId10" display="http://link.springer.com/10.1007/978-1-4419-9988-14"/>
    <hyperlink ref="E16" r:id="rId11" display="https://doi.org/10.1109/MCE.2015.2484639"/>
    <hyperlink ref="E17" r:id="rId12" display="https://doi.org/10.3390/challe5020409 "/>
    <hyperlink ref="E18" r:id="rId13" display="https://doi.org/10.3390/challe8020021 "/>
    <hyperlink ref="E19" r:id="rId14" display="http://www.atlantis-press.com/php/paper-details.php?id=25860375"/>
    <hyperlink ref="E20" r:id="rId15" display="http://www.atlantis-press.com/php/paper-details.php?id=25860375"/>
    <hyperlink ref="E21" r:id="rId16" display="http://link.springer.com/10.1007/s11367-011-0351-1"/>
    <hyperlink ref="E22" r:id="rId17" display="https://doi.org/10.1109/FTFC.2013.6577767"/>
    <hyperlink ref="E23" r:id="rId18" display="https://doi.org/10.1109/FTFC.2013.6577768"/>
    <hyperlink ref="E24" r:id="rId19" display="https://doi.org/10.1109/FTFC.2013.6577769"/>
    <hyperlink ref="E25" r:id="rId20" display="http://ieeexplore.ieee.org/document/6691120/"/>
    <hyperlink ref="E26" r:id="rId21" display="http://ieeexplore.ieee.org/document/6691120/"/>
    <hyperlink ref="E27" r:id="rId22" display="http://ieeexplore.ieee.org/document/6691120/"/>
    <hyperlink ref="E28" r:id="rId23" display="http://ieeexplore.ieee.org/document/6691120/"/>
    <hyperlink ref="E29" r:id="rId24" display="http://ieeexplore.ieee.org/document/6691120/"/>
    <hyperlink ref="E30" r:id="rId25" display="http://ieeexplore.ieee.org/document/6691120/"/>
    <hyperlink ref="E31" r:id="rId26" display="http://ieeexplore.ieee.org/document/6691120/"/>
    <hyperlink ref="E32" r:id="rId27" display="http://ieeexplore.ieee.org/document/6691120/"/>
    <hyperlink ref="E33" r:id="rId28" display="http://ieeexplore.ieee.org/document/6691120/"/>
    <hyperlink ref="E34" r:id="rId29" display="https://ieeexplore.ieee.org/document/9372004/"/>
    <hyperlink ref="E35" r:id="rId30" display="https://ieeexplore.ieee.org/document/9372004/"/>
    <hyperlink ref="E36" r:id="rId31" display="https://ieeexplore.ieee.org/document/9372004/"/>
    <hyperlink ref="E37" r:id="rId32" display="https://ieeexplore.ieee.org/document/9372004/"/>
    <hyperlink ref="E38" r:id="rId33" display="https://ieeexplore.ieee.org/document/9372004/"/>
    <hyperlink ref="E39" r:id="rId34" display="https://ieeexplore.ieee.org/document/9372004/"/>
    <hyperlink ref="E40" r:id="rId35" display="https://ieeexplore.ieee.org/document/9372004/"/>
    <hyperlink ref="E41" r:id="rId36" display="https://ieeexplore.ieee.org/document/9372004/"/>
    <hyperlink ref="E42" r:id="rId37" display="https://ieeexplore.ieee.org/document/9372004/"/>
    <hyperlink ref="E43" r:id="rId38" display="https://doi.org/10.14288/1.0167496"/>
    <hyperlink ref="E44" r:id="rId39" display="https://doi.org/10.14288/1.0167496"/>
    <hyperlink ref="E45" r:id="rId40" display="https://doi.org/10.14288/1.0167496"/>
    <hyperlink ref="E46" r:id="rId41" display="https://doi.org/10.14288/1.0167496"/>
    <hyperlink ref="E47" r:id="rId42" display="https://doi.org/10.14288/1.0167496"/>
    <hyperlink ref="E48" r:id="rId43" display="https://doi.org/10.14288/1.0167496"/>
    <hyperlink ref="E49" r:id="rId44" display="https://doi.org/10.1109/IGCC.2017.8323572"/>
    <hyperlink ref="E50" r:id="rId45" display="https://doi.org/10.1109/IGCC.2017.8323573"/>
    <hyperlink ref="E51" r:id="rId46" display="https://doi.org/10.1109/IGCC.2017.8323574"/>
    <hyperlink ref="E52" r:id="rId47" display="https://doi.org/10.1109/IGCC.2017.8323575"/>
    <hyperlink ref="E53" r:id="rId48" display="https://doi.org/10.1109/IGCC.2017.8323576"/>
    <hyperlink ref="E54" r:id="rId49" display="https://doi.org/10.1109/IGCC.2017.8323577"/>
    <hyperlink ref="E55" r:id="rId50" display="https://doi.org/10.1109/IGCC.2017.8323578"/>
    <hyperlink ref="E56" r:id="rId51" display="http://www.atlantis-press.com/php/paper-details.php?id=25860375 "/>
    <hyperlink ref="E57" r:id="rId52" display="http://link.springer.com/10.1007/s11367-011-0351-1"/>
    <hyperlink ref="E59" r:id="rId53" display="https://citeseerx.ist.psu.edu/viewdoc/download?doi=10.1.1.118.6922&amp;rep=rep1&amp;type=pdf"/>
    <hyperlink ref="E60" r:id="rId54" display="https://citeseerx.ist.psu.edu/viewdoc/download?doi=10.1.1.118.6922&amp;rep=rep1&amp;type=pdf"/>
    <hyperlink ref="E61" r:id="rId55" display="https://citeseerx.ist.psu.edu/viewdoc/download?doi=10.1.1.118.6922&amp;rep=rep1&amp;type=pdf"/>
    <hyperlink ref="E62" r:id="rId56" display="https://citeseerx.ist.psu.edu/viewdoc/download?doi=10.1.1.118.6922&amp;rep=rep1&amp;type=pdf"/>
    <hyperlink ref="E63" r:id="rId57" display="https://citeseerx.ist.psu.edu/viewdoc/download?doi=10.1.1.118.6922&amp;rep=rep1&amp;type=pdf"/>
    <hyperlink ref="E64" r:id="rId58" display="https://citeseerx.ist.psu.edu/viewdoc/download?doi=10.1.1.118.6922&amp;rep=rep1&amp;type=pdf"/>
    <hyperlink ref="E65" r:id="rId59" display="https://citeseerx.ist.psu.edu/viewdoc/download?doi=10.1.1.118.6922&amp;rep=rep1&amp;type=pdf"/>
    <hyperlink ref="E66" r:id="rId60" display="https://citeseerx.ist.psu.edu/viewdoc/download?doi=10.1.1.118.6922&amp;rep=rep1&amp;type=pdf"/>
    <hyperlink ref="E67" r:id="rId61" display="https://citeseerx.ist.psu.edu/viewdoc/download?doi=10.1.1.118.6922&amp;rep=rep1&amp;type=pdf"/>
    <hyperlink ref="E68" r:id="rId62" display="https://citeseerx.ist.psu.edu/viewdoc/download?doi=10.1.1.118.6922&amp;rep=rep1&amp;type=pdf"/>
    <hyperlink ref="E69" r:id="rId63" display="https://citeseerx.ist.psu.edu/viewdoc/download?doi=10.1.1.118.6922&amp;rep=rep1&amp;type=pdf"/>
    <hyperlink ref="E70" r:id="rId64" display="https://citeseerx.ist.psu.edu/viewdoc/download?doi=10.1.1.118.6922&amp;rep=rep1&amp;type=pdf"/>
    <hyperlink ref="E71" r:id="rId65" display="https://citeseerx.ist.psu.edu/viewdoc/download?doi=10.1.1.118.6922&amp;rep=rep1&amp;type=pdf"/>
    <hyperlink ref="E72" r:id="rId66" display="https://citeseerx.ist.psu.edu/viewdoc/download?doi=10.1.1.118.6922&amp;rep=rep1&amp;type=pdf"/>
    <hyperlink ref="E73" r:id="rId67" display="https://citeseerx.ist.psu.edu/viewdoc/download?doi=10.1.1.118.6922&amp;rep=rep1&amp;type=pdf"/>
    <hyperlink ref="E74" r:id="rId68" display="https://citeseerx.ist.psu.edu/viewdoc/download?doi=10.1.1.118.6922&amp;rep=rep1&amp;type=pdf"/>
    <hyperlink ref="E75" r:id="rId69" display="https://citeseerx.ist.psu.edu/viewdoc/download?doi=10.1.1.118.6922&amp;rep=rep1&amp;type=pdf"/>
    <hyperlink ref="E76" r:id="rId70" display="https://citeseerx.ist.psu.edu/viewdoc/download?doi=10.1.1.118.6922&amp;rep=rep1&amp;type=pdf"/>
    <hyperlink ref="E77" r:id="rId71" display="https://citeseerx.ist.psu.edu/viewdoc/download?doi=10.1.1.118.6922&amp;rep=rep1&amp;type=pdf"/>
    <hyperlink ref="E78" r:id="rId72" display="https://citeseerx.ist.psu.edu/viewdoc/download?doi=10.1.1.118.6922&amp;rep=rep1&amp;type=pdf"/>
    <hyperlink ref="E79" r:id="rId73" display="https://citeseerx.ist.psu.edu/viewdoc/download?doi=10.1.1.118.6922&amp;rep=rep1&amp;type=pdf"/>
    <hyperlink ref="E80" r:id="rId74" display="https://citeseerx.ist.psu.edu/viewdoc/download?doi=10.1.1.118.6922&amp;rep=rep1&amp;type=pdf"/>
    <hyperlink ref="E81" r:id="rId75" display="https://citeseerx.ist.psu.edu/viewdoc/download?doi=10.1.1.118.6922&amp;rep=rep1&amp;type=pdf"/>
    <hyperlink ref="E82" r:id="rId76" display="https://citeseerx.ist.psu.edu/viewdoc/download?doi=10.1.1.118.6922&amp;rep=rep1&amp;type=pdf"/>
    <hyperlink ref="E83" r:id="rId77" display="https://citeseerx.ist.psu.edu/viewdoc/download?doi=10.1.1.118.6922&amp;rep=rep1&amp;type=pdf"/>
    <hyperlink ref="E84" r:id="rId78" display="https://citeseerx.ist.psu.edu/viewdoc/download?doi=10.1.1.118.6922&amp;rep=rep1&amp;type=pdf"/>
    <hyperlink ref="E85" r:id="rId79" display="https://citeseerx.ist.psu.edu/viewdoc/download?doi=10.1.1.118.6922&amp;rep=rep1&amp;type=pdf"/>
    <hyperlink ref="E86" r:id="rId80" display="https://download.atlantis-press.com/article/25860375.pdf"/>
    <hyperlink ref="E87" r:id="rId81" display="https://download.atlantis-press.com/article/25860375.pdf"/>
    <hyperlink ref="E88" r:id="rId82" display="https://doi.org/10.1109/ISEE.2008.4562905"/>
    <hyperlink ref="E89" r:id="rId83" display="https://doi.org/10.1109/ISEE.2008.4562906"/>
    <hyperlink ref="E90" r:id="rId84" display="https://doi.org/10.1109/ISEE.2008.4562907"/>
    <hyperlink ref="E91" r:id="rId85" display="https://doi.org/10.1109/ISEE.2008.4562908"/>
    <hyperlink ref="E92" r:id="rId86" display="https://doi.org/10.1109/ISEE.2008.4562909"/>
    <hyperlink ref="E93" r:id="rId87" display="https://doi.org/10.1109/ISEE.2008.4562910"/>
    <hyperlink ref="E94" r:id="rId88" display="https://doi.org/10.1109/ISEE.2008.4562911"/>
    <hyperlink ref="E95" r:id="rId89" display="https://doi.org/10.1109/ISEE.2008.4562912"/>
    <hyperlink ref="E96" r:id="rId90" display="https://doi.org/10.1109/ISEE.2008.4562913"/>
    <hyperlink ref="E97" r:id="rId91" display="https://doi.org/10.1109/ISEE.2008.4562914"/>
    <hyperlink ref="E98" r:id="rId92" display="https://doi.org/10.1109/ISEE.2008.4562915"/>
    <hyperlink ref="E99" r:id="rId93" display="https://doi.org/10.1109/ISEE.2008.4562915"/>
    <hyperlink ref="E100" r:id="rId94" display="https://doi.org/10.1109/ISEE.2008.4562916"/>
    <hyperlink ref="E101" r:id="rId95" display="https://doi.org/10.1109/ISEE.2008.4562917"/>
    <hyperlink ref="E102" r:id="rId96" display="https://doi.org/10.1109/ISEE.2008.4562918"/>
    <hyperlink ref="E103" r:id="rId97" display="https://doi.org/10.1109/ISEE.2008.4562919"/>
    <hyperlink ref="E104" r:id="rId98" display="https://doi.org/10.1109/ISEE.2008.4562920"/>
    <hyperlink ref="E105" r:id="rId99" display="https://doi.org/10.1109/ISEE.2008.4562921"/>
    <hyperlink ref="E106" r:id="rId100" display="https://doi.org/10.1109/ISEE.2008.4562922"/>
    <hyperlink ref="E107" r:id="rId101" display="https://doi.org/10.1109/ISEE.2008.4562905"/>
    <hyperlink ref="E108" r:id="rId102" display="https://doi.org/10.1021/es025643o"/>
    <hyperlink ref="E109" r:id="rId103" display="https://doi.org/10.1021/es025643o"/>
    <hyperlink ref="E110" r:id="rId104" display="https://doi.org/10.1021/es025643o"/>
    <hyperlink ref="E111" r:id="rId105" display="https://doi.org/10.1016/S0360-5442(03)00008-2"/>
    <hyperlink ref="E112" r:id="rId106" display="https://doi.org/10.1016/S0360-5442(03)00008-3"/>
    <hyperlink ref="E113" r:id="rId107" display="https://doi.org/10.1016/S0360-5442(03)00008-4"/>
    <hyperlink ref="E114" r:id="rId108" display="https://doi.org/10.1016/S0360-5442(03)00008-5"/>
    <hyperlink ref="E115" r:id="rId109" display="https://doi.org/10.1016/S0360-5442(03)00008-6"/>
    <hyperlink ref="E116" r:id="rId110" display="https://doi.org/10.1016/S0360-5442(03)00008-7"/>
    <hyperlink ref="E117" r:id="rId111" display="https://doi.org/10.1016/S0360-5442(03)00008-8"/>
    <hyperlink ref="E118" r:id="rId112" display="https://doi.org/10.1016/S0360-5442(03)00008-9"/>
    <hyperlink ref="E119" r:id="rId113" display="http://hdl.handle.net/1721.1/46056"/>
    <hyperlink ref="E120" r:id="rId114" display="http://hdl.handle.net/1721.1/46057"/>
    <hyperlink ref="E121" r:id="rId115" display="http://hdl.handle.net/1721.1/46058"/>
    <hyperlink ref="E122" r:id="rId116" display="http://hdl.handle.net/1721.1/46059"/>
    <hyperlink ref="E123" r:id="rId117" display="http://hdl.handle.net/1721.1/46060"/>
    <hyperlink ref="E124" r:id="rId118" display="http://hdl.handle.net/1721.1/46061"/>
    <hyperlink ref="E125" r:id="rId119" display="http://hdl.handle.net/1721.1/46062"/>
    <hyperlink ref="E126" r:id="rId120" display="https://doi.org/10.1021/es034434g"/>
    <hyperlink ref="E127" r:id="rId121" display="https://doi.org/10.1021/es034434g"/>
    <hyperlink ref="E128" r:id="rId122" display="https://doi.org/10.1021/es903297k"/>
    <hyperlink ref="E129" r:id="rId123" display="https://doi.org/10.1021/es903297k"/>
    <hyperlink ref="E130" r:id="rId124" display="https://doi.org/10.1021/es903297k"/>
    <hyperlink ref="E131" r:id="rId125" display="https://doi.org/10.1021/es903297k"/>
    <hyperlink ref="E132" r:id="rId126" display="https://doi.org/10.1021/es903297k"/>
    <hyperlink ref="E133" r:id="rId127" display="https://doi.org/10.1021/es903297k"/>
    <hyperlink ref="E134" r:id="rId128" display="https://doi.org/10.1021/es903297k"/>
    <hyperlink ref="E135" r:id="rId129" display="https://doi.org/10.1021/es903297k"/>
    <hyperlink ref="E137" r:id="rId130" display="Link"/>
    <hyperlink ref="E138" r:id="rId131" display="Link"/>
    <hyperlink ref="E139" r:id="rId132" display="Link"/>
    <hyperlink ref="E140" r:id="rId133" display="Link"/>
    <hyperlink ref="E141" r:id="rId134" display="Link"/>
    <hyperlink ref="E142" r:id="rId135" display="Link"/>
    <hyperlink ref="E143" r:id="rId136" display="Link"/>
    <hyperlink ref="E144" r:id="rId137" display="Link"/>
    <hyperlink ref="E145" r:id="rId138" display="Link"/>
    <hyperlink ref="E146" r:id="rId139" display="Link"/>
    <hyperlink ref="E148" r:id="rId140" display="Link"/>
    <hyperlink ref="E149" r:id="rId141" display="Link"/>
    <hyperlink ref="E150" r:id="rId142" display="Link"/>
    <hyperlink ref="E151" r:id="rId143" display="Link"/>
    <hyperlink ref="E152" r:id="rId144" display="Link"/>
    <hyperlink ref="E153" r:id="rId145" display="Link"/>
    <hyperlink ref="E154" r:id="rId146" display="Link"/>
    <hyperlink ref="E155" r:id="rId147" display="Link"/>
    <hyperlink ref="E156" r:id="rId148" display="Link"/>
    <hyperlink ref="E157" r:id="rId149" display="Link"/>
    <hyperlink ref="E158" r:id="rId150" display="Link"/>
    <hyperlink ref="E160" r:id="rId151" display="Link"/>
    <hyperlink ref="E161" r:id="rId152" display="Link"/>
    <hyperlink ref="E162" r:id="rId153" display="Link"/>
    <hyperlink ref="E163" r:id="rId154" display="Link"/>
    <hyperlink ref="E164" r:id="rId155" display="Link"/>
    <hyperlink ref="E165" r:id="rId156" display="Link"/>
    <hyperlink ref="E166" r:id="rId157" display="Link"/>
    <hyperlink ref="E167" r:id="rId158" display="Link"/>
    <hyperlink ref="E168" r:id="rId159" display="Link"/>
    <hyperlink ref="E169" r:id="rId160" display="Link"/>
    <hyperlink ref="E171" r:id="rId161" display="https://www.smics.com/uploads/1_&amp;e4&amp;b8&amp;ad&amp;e8&amp;8a&amp;af&amp;e5&amp;9b&amp;bd&amp;e9&amp;99&amp;85&amp;e7&amp;a4&amp;be&amp;e4&amp;bc&amp;9a&amp;e8&amp;b4&amp;a3&amp;e4&amp;bb&amp;bb&amp;e6&amp;8a&amp;a5&amp;e5&amp;91&amp;8a-&amp;e8&amp;8b&amp;b1&amp;e6&amp;96&amp;87&amp;e6&amp;8c&amp;82&amp;e7&amp;bd&amp;91&amp;e7&amp;89&amp;887.26-5.pdf"/>
    <hyperlink ref="E172" r:id="rId162" display="https://www.smics.com/uploads/2019%20SMIC%20CSR%20Report%20Final-&amp;e8&amp;8b&amp;b1&amp;e6&amp;96&amp;87.pdf"/>
    <hyperlink ref="E173" r:id="rId163" display="https://www.smics.com/uploads/2018%20CSR%20Report-EN.pdf"/>
    <hyperlink ref="E174" r:id="rId164" display="https://www.smics.com/uploads/2017%20SMIC%20CSR%20Report%20_EN.pdf"/>
    <hyperlink ref="E175" r:id="rId165" display="https://www.smics.com/uploads/2016_SMIC_CSR_Report.pdf"/>
    <hyperlink ref="E176" r:id="rId166" display="https://www.smics.com/uploads/2015_SMIC_CSR_Report.pdf"/>
    <hyperlink ref="E177" r:id="rId167" display="https://www.smics.com/uploads/2014_SMIC_CSR_Report.pdf"/>
    <hyperlink ref="E178" r:id="rId168" display="https://www.smics.com/uploads/2013_SMIC_CSR_Report.pdf"/>
    <hyperlink ref="E179" r:id="rId169" display="https://www.smics.com/uploads/2011-2012_SMIC_CSR_Report.pdf"/>
    <hyperlink ref="E180" r:id="rId170" display="https://www.smics.com/uploads/2011-2012_SMIC_CSR_Report.pdf"/>
    <hyperlink ref="E182" r:id="rId171" display="https://www.globalfoundries.com/sites/default/files/2021-01/gf_2020_csr_report.pdf"/>
    <hyperlink ref="E183" r:id="rId172" display="https://gf.com/sites/default/files/gf_crr19_0808_final_2.pdf"/>
    <hyperlink ref="E184" r:id="rId173" display="https://gf.com/sites/default/files/gf_crr18_1219a.pdf"/>
    <hyperlink ref="E185" r:id="rId174" display="https://gf.com/sites/default/files/globalfoundries-2017-csr-report-final.pdf"/>
    <hyperlink ref="E186" r:id="rId175" display="https://gf.com/sites/default/files/gf-2016-csr-report-12-21-16.pdf"/>
    <hyperlink ref="E187" r:id="rId176" display="https://gf.com/sites/default/files/gf-2016-csr-report-12-21-16.pdf"/>
    <hyperlink ref="E188" r:id="rId177" display="https://gf.com/sites/default/files/globalfoundries-corporate-responsibility-report-9-23-final.pdf"/>
    <hyperlink ref="E189" r:id="rId178" display="https://gf.com/sites/default/files/globalfoundries-corporate-responsibility-report-9-23-final.pdf"/>
    <hyperlink ref="E190" r:id="rId179" display="https://gf.com/sites/default/files/2012-corporate-responsibility-report.pdf"/>
    <hyperlink ref="E191" r:id="rId180" display="https://gf.com/sites/default/files/2012-corporate-responsibility-report.pdf"/>
    <hyperlink ref="E193" r:id="rId181" display="https://eps.ieee.org/images/files/Roadmap/ITRSESH2015.pdf "/>
    <hyperlink ref="E194" r:id="rId182" display="https://eps.ieee.org/images/files/Roadmap/ITRSESH2015.pdf "/>
    <hyperlink ref="E195" r:id="rId183" display="https://eps.ieee.org/images/files/Roadmap/ITRSESH2015.pdf "/>
    <hyperlink ref="E196" r:id="rId184" display="https://eps.ieee.org/images/files/Roadmap/ITRSESH2015.pdf "/>
    <hyperlink ref="E197" r:id="rId185" display="https://eps.ieee.org/images/files/Roadmap/ITRSESH2015.pdf "/>
    <hyperlink ref="E198" r:id="rId186" display="https://eps.ieee.org/images/files/Roadmap/ITRSESH2015.pdf "/>
    <hyperlink ref="E199" r:id="rId187" display="https://eps.ieee.org/images/files/Roadmap/ITRSESH2015.pdf "/>
    <hyperlink ref="E200" r:id="rId188" display="https://eps.ieee.org/images/files/Roadmap/ITRSESH2015.pdf "/>
    <hyperlink ref="E202" r:id="rId189" display="https://gabi.sphera.com/international/databases/gabi-databases/electronics/"/>
    <hyperlink ref="E203" r:id="rId190" display="https://gabi.sphera.com/international/databases/gabi-databases/electronics/"/>
    <hyperlink ref="E204" r:id="rId191" display="https://gabi.sphera.com/international/databases/gabi-databases/electronics/"/>
    <hyperlink ref="E205" r:id="rId192" display="https://gabi.sphera.com/international/databases/gabi-databases/electronics/"/>
    <hyperlink ref="E206" r:id="rId193" display="https://gabi.sphera.com/international/databases/gabi-databases/electronics/"/>
    <hyperlink ref="E207" r:id="rId194" display="https://gabi.sphera.com/international/databases/gabi-databases/electronics/"/>
    <hyperlink ref="E208" r:id="rId195" display="https://gabi.sphera.com/international/databases/gabi-databases/electronics/"/>
    <hyperlink ref="E209" r:id="rId196" display="https://gabi.sphera.com/international/databases/gabi-databases/electronics/"/>
    <hyperlink ref="E210" r:id="rId197" display="https://gabi.sphera.com/international/databases/gabi-databases/electronics/"/>
    <hyperlink ref="E211" r:id="rId198" display="https://gabi.sphera.com/international/databases/gabi-databases/electronics/"/>
    <hyperlink ref="E212" r:id="rId199" display="https://gabi.sphera.com/international/databases/gabi-databases/electronics/"/>
    <hyperlink ref="E213" r:id="rId200" display="https://gabi.sphera.com/international/databases/gabi-databases/electronics/"/>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0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H37"/>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2" activeCellId="0" sqref="B2"/>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10" min="10" style="257" width="1.26"/>
  </cols>
  <sheetData>
    <row r="2" customFormat="false" ht="15.75" hidden="false" customHeight="false" outlineLevel="0" collapsed="false">
      <c r="B2" s="92" t="s">
        <v>508</v>
      </c>
      <c r="C2" s="220" t="s">
        <v>937</v>
      </c>
    </row>
    <row r="12" customFormat="false" ht="135" hidden="false" customHeight="true" outlineLevel="0" collapsed="false">
      <c r="B12" s="310" t="s">
        <v>1144</v>
      </c>
      <c r="C12" s="310"/>
      <c r="D12" s="310"/>
      <c r="E12" s="310"/>
      <c r="F12" s="310"/>
      <c r="G12" s="310"/>
    </row>
    <row r="13" customFormat="false" ht="15.75" hidden="false" customHeight="false" outlineLevel="0" collapsed="false">
      <c r="B13" s="77"/>
      <c r="C13" s="77"/>
      <c r="D13" s="77"/>
      <c r="E13" s="77"/>
      <c r="F13" s="77"/>
      <c r="G13" s="77"/>
    </row>
    <row r="37" customFormat="false" ht="120" hidden="false" customHeight="true" outlineLevel="0" collapsed="false">
      <c r="B37" s="311" t="s">
        <v>1145</v>
      </c>
      <c r="C37" s="311"/>
      <c r="D37" s="311"/>
      <c r="E37" s="311"/>
      <c r="F37" s="311"/>
      <c r="G37" s="311"/>
      <c r="H37" s="311"/>
    </row>
  </sheetData>
  <mergeCells count="2">
    <mergeCell ref="B12:G12"/>
    <mergeCell ref="B37:H37"/>
  </mergeCells>
  <hyperlinks>
    <hyperlink ref="C2" r:id="rId1" display="https://doi.org/10.1109/ISSST.2010.5507677"/>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G35"/>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8" activeCellId="0" sqref="H8"/>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3" min="3" style="0" width="16.75"/>
    <col collapsed="false" customWidth="true" hidden="false" outlineLevel="0" max="4" min="4" style="0" width="15.75"/>
    <col collapsed="false" customWidth="true" hidden="false" outlineLevel="0" max="5" min="5" style="0" width="32.25"/>
    <col collapsed="false" customWidth="true" hidden="false" outlineLevel="0" max="6" min="6" style="0" width="10.63"/>
    <col collapsed="false" customWidth="true" hidden="false" outlineLevel="0" max="7" min="7" style="0" width="20.5"/>
    <col collapsed="false" customWidth="true" hidden="false" outlineLevel="0" max="14" min="14" style="257" width="1.26"/>
  </cols>
  <sheetData>
    <row r="2" customFormat="false" ht="15.75" hidden="false" customHeight="false" outlineLevel="0" collapsed="false">
      <c r="B2" s="92" t="s">
        <v>508</v>
      </c>
      <c r="C2" s="220" t="s">
        <v>390</v>
      </c>
      <c r="D2" s="220"/>
    </row>
    <row r="4" customFormat="false" ht="21" hidden="false" customHeight="false" outlineLevel="0" collapsed="false">
      <c r="C4" s="259" t="s">
        <v>556</v>
      </c>
      <c r="D4" s="259"/>
      <c r="E4" s="259"/>
      <c r="F4" s="259"/>
    </row>
    <row r="5" customFormat="false" ht="15.75" hidden="false" customHeight="false" outlineLevel="0" collapsed="false">
      <c r="C5" s="111" t="s">
        <v>992</v>
      </c>
      <c r="D5" s="111" t="s">
        <v>520</v>
      </c>
      <c r="E5" s="113"/>
      <c r="F5" s="113"/>
    </row>
    <row r="6" customFormat="false" ht="15.75" hidden="false" customHeight="false" outlineLevel="0" collapsed="false">
      <c r="C6" s="0" t="n">
        <v>57</v>
      </c>
      <c r="D6" s="0" t="s">
        <v>52</v>
      </c>
      <c r="E6" s="89" t="s">
        <v>1146</v>
      </c>
      <c r="F6" s="115" t="n">
        <v>21</v>
      </c>
      <c r="G6" s="0" t="s">
        <v>553</v>
      </c>
    </row>
    <row r="7" customFormat="false" ht="15.75" hidden="false" customHeight="false" outlineLevel="0" collapsed="false">
      <c r="C7" s="0" t="n">
        <v>57</v>
      </c>
      <c r="D7" s="0" t="s">
        <v>52</v>
      </c>
      <c r="E7" s="89" t="s">
        <v>1147</v>
      </c>
      <c r="F7" s="115" t="n">
        <v>31</v>
      </c>
      <c r="G7" s="0" t="s">
        <v>553</v>
      </c>
    </row>
    <row r="8" customFormat="false" ht="15.75" hidden="false" customHeight="false" outlineLevel="0" collapsed="false">
      <c r="C8" s="0" t="n">
        <v>57</v>
      </c>
      <c r="D8" s="0" t="s">
        <v>52</v>
      </c>
      <c r="E8" s="89" t="s">
        <v>1148</v>
      </c>
      <c r="F8" s="115" t="n">
        <v>18</v>
      </c>
      <c r="G8" s="0" t="s">
        <v>553</v>
      </c>
    </row>
    <row r="9" customFormat="false" ht="15.75" hidden="false" customHeight="false" outlineLevel="0" collapsed="false">
      <c r="C9" s="0" t="n">
        <v>250</v>
      </c>
      <c r="D9" s="0" t="s">
        <v>75</v>
      </c>
      <c r="E9" s="89" t="s">
        <v>1149</v>
      </c>
      <c r="F9" s="115" t="n">
        <v>36</v>
      </c>
      <c r="G9" s="0" t="s">
        <v>553</v>
      </c>
    </row>
    <row r="10" customFormat="false" ht="15.75" hidden="false" customHeight="false" outlineLevel="0" collapsed="false">
      <c r="C10" s="0" t="n">
        <v>250</v>
      </c>
      <c r="D10" s="0" t="s">
        <v>75</v>
      </c>
      <c r="E10" s="89" t="s">
        <v>1150</v>
      </c>
      <c r="F10" s="115" t="n">
        <v>1.9</v>
      </c>
      <c r="G10" s="0" t="s">
        <v>553</v>
      </c>
    </row>
    <row r="11" customFormat="false" ht="15.75" hidden="false" customHeight="false" outlineLevel="0" collapsed="false">
      <c r="C11" s="0" t="n">
        <v>250</v>
      </c>
      <c r="D11" s="0" t="s">
        <v>75</v>
      </c>
      <c r="E11" s="89" t="s">
        <v>1151</v>
      </c>
      <c r="F11" s="115" t="n">
        <v>6.8</v>
      </c>
      <c r="G11" s="0" t="s">
        <v>553</v>
      </c>
    </row>
    <row r="12" customFormat="false" ht="15.75" hidden="false" customHeight="false" outlineLevel="0" collapsed="false">
      <c r="C12" s="0" t="n">
        <v>57</v>
      </c>
      <c r="D12" s="0" t="s">
        <v>52</v>
      </c>
      <c r="E12" s="89" t="s">
        <v>1146</v>
      </c>
      <c r="F12" s="115" t="n">
        <f aca="false">0.43/0.09</f>
        <v>4.77777777777778</v>
      </c>
      <c r="G12" s="0" t="s">
        <v>553</v>
      </c>
    </row>
    <row r="13" customFormat="false" ht="15.75" hidden="false" customHeight="false" outlineLevel="0" collapsed="false">
      <c r="C13" s="0" t="n">
        <v>57</v>
      </c>
      <c r="D13" s="0" t="s">
        <v>52</v>
      </c>
      <c r="E13" s="89" t="s">
        <v>1147</v>
      </c>
      <c r="F13" s="115" t="n">
        <f aca="false">100/3.61</f>
        <v>27.7008310249307</v>
      </c>
      <c r="G13" s="0" t="s">
        <v>553</v>
      </c>
    </row>
    <row r="14" customFormat="false" ht="15.75" hidden="false" customHeight="false" outlineLevel="0" collapsed="false">
      <c r="C14" s="0" t="n">
        <v>45</v>
      </c>
      <c r="D14" s="0" t="s">
        <v>52</v>
      </c>
      <c r="E14" s="89" t="s">
        <v>1152</v>
      </c>
      <c r="F14" s="115" t="n">
        <f aca="false">2.67/0.22</f>
        <v>12.1363636363636</v>
      </c>
      <c r="G14" s="0" t="s">
        <v>553</v>
      </c>
    </row>
    <row r="15" customFormat="false" ht="15.75" hidden="false" customHeight="false" outlineLevel="0" collapsed="false">
      <c r="C15" s="0" t="n">
        <v>45</v>
      </c>
      <c r="D15" s="0" t="s">
        <v>52</v>
      </c>
      <c r="E15" s="89" t="s">
        <v>1152</v>
      </c>
      <c r="F15" s="115" t="n">
        <f aca="false">3.07/0.1</f>
        <v>30.7</v>
      </c>
      <c r="G15" s="0" t="s">
        <v>553</v>
      </c>
    </row>
    <row r="16" customFormat="false" ht="15.75" hidden="false" customHeight="false" outlineLevel="0" collapsed="false">
      <c r="C16" s="0" t="n">
        <v>130</v>
      </c>
      <c r="D16" s="0" t="s">
        <v>46</v>
      </c>
      <c r="E16" s="89" t="s">
        <v>1153</v>
      </c>
      <c r="F16" s="115" t="n">
        <f aca="false">1.14/0.25</f>
        <v>4.56</v>
      </c>
      <c r="G16" s="0" t="s">
        <v>553</v>
      </c>
    </row>
    <row r="17" customFormat="false" ht="15.75" hidden="false" customHeight="false" outlineLevel="0" collapsed="false">
      <c r="C17" s="0" t="n">
        <v>130</v>
      </c>
      <c r="D17" s="0" t="s">
        <v>46</v>
      </c>
      <c r="E17" s="89" t="s">
        <v>1154</v>
      </c>
      <c r="F17" s="115" t="n">
        <f aca="false">118.43/3.61</f>
        <v>32.8060941828255</v>
      </c>
      <c r="G17" s="0" t="s">
        <v>553</v>
      </c>
    </row>
    <row r="18" customFormat="false" ht="15.75" hidden="false" customHeight="false" outlineLevel="0" collapsed="false">
      <c r="C18" s="0" t="s">
        <v>75</v>
      </c>
      <c r="D18" s="0" t="s">
        <v>1155</v>
      </c>
      <c r="E18" s="89" t="s">
        <v>1156</v>
      </c>
      <c r="F18" s="115" t="n">
        <f aca="false">38</f>
        <v>38</v>
      </c>
      <c r="G18" s="0" t="s">
        <v>553</v>
      </c>
    </row>
    <row r="19" customFormat="false" ht="15.75" hidden="false" customHeight="false" outlineLevel="0" collapsed="false">
      <c r="C19" s="0" t="s">
        <v>75</v>
      </c>
      <c r="D19" s="0" t="s">
        <v>52</v>
      </c>
      <c r="E19" s="89" t="s">
        <v>1152</v>
      </c>
      <c r="F19" s="115" t="n">
        <v>30</v>
      </c>
      <c r="G19" s="0" t="s">
        <v>553</v>
      </c>
    </row>
    <row r="20" customFormat="false" ht="15.75" hidden="false" customHeight="false" outlineLevel="0" collapsed="false">
      <c r="C20" s="0" t="s">
        <v>75</v>
      </c>
      <c r="D20" s="0" t="s">
        <v>52</v>
      </c>
      <c r="E20" s="89" t="s">
        <v>1152</v>
      </c>
      <c r="F20" s="115" t="n">
        <v>31</v>
      </c>
      <c r="G20" s="0" t="s">
        <v>553</v>
      </c>
    </row>
    <row r="35" customFormat="false" ht="15.75" hidden="false" customHeight="false" outlineLevel="0" collapsed="false">
      <c r="F35" s="108" t="s">
        <v>1157</v>
      </c>
    </row>
  </sheetData>
  <mergeCells count="1">
    <mergeCell ref="C4:F4"/>
  </mergeCells>
  <hyperlinks>
    <hyperlink ref="C2" r:id="rId1" display="https://doi.org/10.1016/j.segan.2020.100408"/>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Z3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I14" activeCellId="0" sqref="I14"/>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2" min="2" style="0" width="12.88"/>
    <col collapsed="false" customWidth="true" hidden="false" outlineLevel="0" max="5" min="5" style="0" width="10.37"/>
    <col collapsed="false" customWidth="true" hidden="false" outlineLevel="0" max="9" min="9" style="0" width="19.63"/>
    <col collapsed="false" customWidth="true" hidden="false" outlineLevel="0" max="10" min="10" style="257" width="1.26"/>
    <col collapsed="false" customWidth="true" hidden="false" outlineLevel="0" max="15" min="12" style="0" width="19.38"/>
    <col collapsed="false" customWidth="true" hidden="false" outlineLevel="0" max="17" min="17" style="0" width="15.87"/>
    <col collapsed="false" customWidth="true" hidden="false" outlineLevel="0" max="26" min="22" style="0" width="17.63"/>
    <col collapsed="false" customWidth="true" hidden="false" outlineLevel="0" max="27" min="27" style="257" width="1.26"/>
  </cols>
  <sheetData>
    <row r="2" customFormat="false" ht="15.75" hidden="false" customHeight="false" outlineLevel="0" collapsed="false">
      <c r="C2" s="92" t="s">
        <v>508</v>
      </c>
      <c r="D2" s="220" t="s">
        <v>409</v>
      </c>
      <c r="K2" s="92" t="s">
        <v>508</v>
      </c>
      <c r="L2" s="220" t="s">
        <v>418</v>
      </c>
    </row>
    <row r="3" customFormat="false" ht="15.75" hidden="false" customHeight="false" outlineLevel="0" collapsed="false">
      <c r="L3" s="0" t="s">
        <v>1158</v>
      </c>
    </row>
    <row r="4" customFormat="false" ht="21" hidden="false" customHeight="false" outlineLevel="0" collapsed="false">
      <c r="C4" s="259" t="s">
        <v>1159</v>
      </c>
      <c r="D4" s="259"/>
      <c r="E4" s="259"/>
      <c r="F4" s="0" t="s">
        <v>1160</v>
      </c>
      <c r="K4" s="259" t="s">
        <v>1161</v>
      </c>
      <c r="L4" s="259"/>
      <c r="M4" s="259"/>
      <c r="V4" s="259" t="s">
        <v>1162</v>
      </c>
      <c r="W4" s="259"/>
      <c r="X4" s="259"/>
      <c r="Y4" s="259"/>
    </row>
    <row r="5" customFormat="false" ht="63" hidden="false" customHeight="false" outlineLevel="0" collapsed="false">
      <c r="D5" s="312" t="s">
        <v>1163</v>
      </c>
      <c r="E5" s="313" t="s">
        <v>1164</v>
      </c>
      <c r="F5" s="312" t="s">
        <v>1165</v>
      </c>
      <c r="I5" s="252" t="s">
        <v>1166</v>
      </c>
    </row>
    <row r="6" customFormat="false" ht="47.25" hidden="false" customHeight="false" outlineLevel="0" collapsed="false">
      <c r="B6" s="0" t="s">
        <v>1167</v>
      </c>
      <c r="C6" s="89" t="s">
        <v>1168</v>
      </c>
      <c r="D6" s="0" t="n">
        <v>3.2</v>
      </c>
      <c r="E6" s="314" t="n">
        <v>1.51</v>
      </c>
      <c r="F6" s="0" t="n">
        <v>18</v>
      </c>
      <c r="I6" s="115" t="n">
        <f aca="false">1-(D6/F6)</f>
        <v>0.822222222222222</v>
      </c>
      <c r="L6" s="315" t="s">
        <v>1001</v>
      </c>
      <c r="M6" s="315" t="s">
        <v>1001</v>
      </c>
      <c r="N6" s="315" t="s">
        <v>553</v>
      </c>
      <c r="O6" s="315" t="s">
        <v>553</v>
      </c>
      <c r="Q6" s="316" t="s">
        <v>1169</v>
      </c>
      <c r="R6" s="316"/>
      <c r="S6" s="316"/>
      <c r="T6" s="316"/>
      <c r="U6" s="316"/>
      <c r="V6" s="271" t="s">
        <v>1056</v>
      </c>
      <c r="W6" s="271" t="s">
        <v>1056</v>
      </c>
      <c r="X6" s="271" t="s">
        <v>1057</v>
      </c>
      <c r="Y6" s="271" t="s">
        <v>1057</v>
      </c>
    </row>
    <row r="7" customFormat="false" ht="15.75" hidden="false" customHeight="false" outlineLevel="0" collapsed="false">
      <c r="B7" s="0" t="s">
        <v>1170</v>
      </c>
      <c r="C7" s="89" t="s">
        <v>1171</v>
      </c>
      <c r="D7" s="0" t="n">
        <v>3.2</v>
      </c>
      <c r="E7" s="314" t="n">
        <v>2</v>
      </c>
      <c r="F7" s="0" t="n">
        <v>23</v>
      </c>
      <c r="I7" s="115" t="n">
        <f aca="false">1-(D7/F7)</f>
        <v>0.860869565217391</v>
      </c>
      <c r="L7" s="113" t="s">
        <v>1172</v>
      </c>
      <c r="M7" s="113" t="s">
        <v>256</v>
      </c>
      <c r="N7" s="113" t="s">
        <v>1172</v>
      </c>
      <c r="O7" s="113" t="s">
        <v>256</v>
      </c>
      <c r="Q7" s="316" t="s">
        <v>1173</v>
      </c>
      <c r="R7" s="316"/>
      <c r="S7" s="316"/>
      <c r="T7" s="316"/>
      <c r="U7" s="316"/>
      <c r="V7" s="113" t="s">
        <v>1172</v>
      </c>
      <c r="W7" s="113" t="s">
        <v>256</v>
      </c>
      <c r="X7" s="113" t="s">
        <v>1172</v>
      </c>
      <c r="Y7" s="113" t="s">
        <v>256</v>
      </c>
    </row>
    <row r="8" customFormat="false" ht="15.75" hidden="false" customHeight="false" outlineLevel="0" collapsed="false">
      <c r="B8" s="0" t="n">
        <v>1999</v>
      </c>
      <c r="C8" s="89" t="s">
        <v>1174</v>
      </c>
      <c r="D8" s="0" t="n">
        <v>2.32</v>
      </c>
      <c r="E8" s="314" t="n">
        <v>1.19</v>
      </c>
      <c r="F8" s="0" t="n">
        <v>14</v>
      </c>
      <c r="I8" s="115" t="n">
        <f aca="false">1-(D8/F8)</f>
        <v>0.834285714285714</v>
      </c>
      <c r="K8" s="89" t="n">
        <v>2005</v>
      </c>
      <c r="L8" s="0" t="n">
        <v>1.46</v>
      </c>
      <c r="M8" s="317"/>
      <c r="N8" s="115" t="n">
        <f aca="false">L8*Parameters!$C$7*Parameters!$C$12/$I$11</f>
        <v>15.8313253012048</v>
      </c>
      <c r="O8" s="318"/>
      <c r="Q8" s="316" t="s">
        <v>1175</v>
      </c>
      <c r="R8" s="316"/>
      <c r="S8" s="316"/>
      <c r="T8" s="316"/>
      <c r="U8" s="89" t="n">
        <v>2005</v>
      </c>
      <c r="V8" s="319" t="n">
        <f aca="false">L8*Parameters!$C$8</f>
        <v>0.6935</v>
      </c>
      <c r="W8" s="317"/>
      <c r="X8" s="319" t="n">
        <f aca="false">V8/'Scopes ratios details'!$F$61</f>
        <v>1.03526642780558</v>
      </c>
      <c r="Y8" s="317"/>
      <c r="Z8" s="316"/>
    </row>
    <row r="9" customFormat="false" ht="15.75" hidden="false" customHeight="false" outlineLevel="0" collapsed="false">
      <c r="B9" s="0" t="s">
        <v>1176</v>
      </c>
      <c r="C9" s="89" t="s">
        <v>256</v>
      </c>
      <c r="E9" s="314" t="n">
        <v>1.51</v>
      </c>
      <c r="F9" s="0" t="n">
        <v>15</v>
      </c>
      <c r="K9" s="89" t="n">
        <v>2004</v>
      </c>
      <c r="L9" s="0" t="n">
        <v>1.42</v>
      </c>
      <c r="M9" s="0" t="n">
        <v>1.61</v>
      </c>
      <c r="N9" s="115" t="n">
        <f aca="false">L9*Parameters!$C$7*Parameters!$C$12/$I$11</f>
        <v>15.3975903614458</v>
      </c>
      <c r="O9" s="115" t="n">
        <f aca="false">M9*Parameters!$C$7*Parameters!$C$12/$I$11</f>
        <v>17.4578313253012</v>
      </c>
      <c r="Q9" s="316" t="s">
        <v>1177</v>
      </c>
      <c r="R9" s="316"/>
      <c r="S9" s="316"/>
      <c r="T9" s="316"/>
      <c r="U9" s="89" t="n">
        <v>2004</v>
      </c>
      <c r="V9" s="319" t="n">
        <f aca="false">L9*Parameters!$C$8</f>
        <v>0.6745</v>
      </c>
      <c r="W9" s="319" t="n">
        <f aca="false">M9*Parameters!$C$8</f>
        <v>0.76475</v>
      </c>
      <c r="X9" s="319" t="n">
        <f aca="false">V9/'Scopes ratios details'!$F$61</f>
        <v>1.00690296403009</v>
      </c>
      <c r="Y9" s="319" t="n">
        <f aca="false">W9/'Scopes ratios details'!$F$61</f>
        <v>1.14162941696369</v>
      </c>
      <c r="Z9" s="316"/>
    </row>
    <row r="10" customFormat="false" ht="15.75" hidden="false" customHeight="false" outlineLevel="0" collapsed="false">
      <c r="H10" s="0" t="s">
        <v>1178</v>
      </c>
      <c r="K10" s="89" t="n">
        <v>2003</v>
      </c>
      <c r="L10" s="0" t="n">
        <v>1.79</v>
      </c>
      <c r="M10" s="0" t="n">
        <v>1.39</v>
      </c>
      <c r="N10" s="115" t="n">
        <f aca="false">L10*Parameters!$C$7*Parameters!$C$12/$I$11</f>
        <v>19.4096385542169</v>
      </c>
      <c r="O10" s="115" t="n">
        <f aca="false">M10*Parameters!$C$7*Parameters!$C$12/$I$11</f>
        <v>15.0722891566265</v>
      </c>
      <c r="Q10" s="316" t="s">
        <v>1179</v>
      </c>
      <c r="R10" s="316"/>
      <c r="S10" s="316"/>
      <c r="T10" s="316"/>
      <c r="U10" s="89" t="n">
        <v>2003</v>
      </c>
      <c r="V10" s="319" t="n">
        <f aca="false">L10*Parameters!$C$8</f>
        <v>0.85025</v>
      </c>
      <c r="W10" s="319" t="n">
        <f aca="false">M10*Parameters!$C$8</f>
        <v>0.66025</v>
      </c>
      <c r="X10" s="319" t="n">
        <f aca="false">V10/'Scopes ratios details'!$F$61</f>
        <v>1.26926500395342</v>
      </c>
      <c r="Y10" s="319" t="n">
        <f aca="false">W10/'Scopes ratios details'!$F$61</f>
        <v>0.985630366198466</v>
      </c>
      <c r="Z10" s="316"/>
    </row>
    <row r="11" customFormat="false" ht="15.75" hidden="false" customHeight="false" outlineLevel="0" collapsed="false">
      <c r="H11" s="320" t="s">
        <v>1180</v>
      </c>
      <c r="I11" s="321" t="n">
        <f aca="false">ROUND(MEDIAN(I6:I8),2)</f>
        <v>0.83</v>
      </c>
      <c r="K11" s="89" t="n">
        <v>2002</v>
      </c>
      <c r="L11" s="0" t="n">
        <v>1.83</v>
      </c>
      <c r="M11" s="0" t="n">
        <v>1.52</v>
      </c>
      <c r="N11" s="115" t="n">
        <f aca="false">L11*Parameters!$C$7*Parameters!$C$12/$I$11</f>
        <v>19.8433734939759</v>
      </c>
      <c r="O11" s="115" t="n">
        <f aca="false">M11*Parameters!$C$7*Parameters!$C$12/$I$11</f>
        <v>16.4819277108434</v>
      </c>
      <c r="Q11" s="316" t="s">
        <v>1181</v>
      </c>
      <c r="R11" s="316"/>
      <c r="S11" s="316"/>
      <c r="T11" s="316"/>
      <c r="U11" s="89" t="n">
        <v>2002</v>
      </c>
      <c r="V11" s="319" t="n">
        <f aca="false">L11*Parameters!$C$8</f>
        <v>0.86925</v>
      </c>
      <c r="W11" s="319" t="n">
        <f aca="false">M11*Parameters!$C$8</f>
        <v>0.722</v>
      </c>
      <c r="X11" s="319" t="n">
        <f aca="false">V11/'Scopes ratios details'!$F$61</f>
        <v>1.29762846772892</v>
      </c>
      <c r="Y11" s="319" t="n">
        <f aca="false">W11/'Scopes ratios details'!$F$61</f>
        <v>1.07781162346883</v>
      </c>
      <c r="Z11" s="316"/>
    </row>
    <row r="12" customFormat="false" ht="15.75" hidden="false" customHeight="false" outlineLevel="0" collapsed="false">
      <c r="H12" s="182" t="s">
        <v>1182</v>
      </c>
      <c r="I12" s="269" t="n">
        <f aca="false">ROUND(AVERAGEA(I6:I8),2)</f>
        <v>0.84</v>
      </c>
      <c r="K12" s="89" t="n">
        <v>2001</v>
      </c>
      <c r="L12" s="0" t="n">
        <v>1.73</v>
      </c>
      <c r="M12" s="0" t="n">
        <v>1.85</v>
      </c>
      <c r="N12" s="115" t="n">
        <f aca="false">L12*Parameters!$C$7*Parameters!$C$12/$I$11</f>
        <v>18.7590361445783</v>
      </c>
      <c r="O12" s="115" t="n">
        <f aca="false">M12*Parameters!$C$7*Parameters!$C$12/$I$11</f>
        <v>20.0602409638554</v>
      </c>
      <c r="Q12" s="316" t="s">
        <v>1183</v>
      </c>
      <c r="R12" s="316"/>
      <c r="S12" s="316"/>
      <c r="T12" s="316"/>
      <c r="U12" s="89" t="n">
        <v>2001</v>
      </c>
      <c r="V12" s="319" t="n">
        <f aca="false">L12*Parameters!$C$8</f>
        <v>0.82175</v>
      </c>
      <c r="W12" s="319" t="n">
        <f aca="false">M12*Parameters!$C$8</f>
        <v>0.87875</v>
      </c>
      <c r="X12" s="319" t="n">
        <f aca="false">V12/'Scopes ratios details'!$F$61</f>
        <v>1.22671980829018</v>
      </c>
      <c r="Y12" s="319" t="n">
        <f aca="false">W12/'Scopes ratios details'!$F$61</f>
        <v>1.31181019961666</v>
      </c>
      <c r="Z12" s="316"/>
    </row>
    <row r="13" customFormat="false" ht="15.75" hidden="false" customHeight="false" outlineLevel="0" collapsed="false">
      <c r="I13" s="115"/>
      <c r="K13" s="89" t="n">
        <v>2000</v>
      </c>
      <c r="L13" s="0" t="n">
        <v>1.23</v>
      </c>
      <c r="M13" s="0" t="n">
        <v>1.9</v>
      </c>
      <c r="N13" s="115" t="n">
        <f aca="false">L13*Parameters!$C$7*Parameters!$C$12/$I$11</f>
        <v>13.3373493975904</v>
      </c>
      <c r="O13" s="115" t="n">
        <f aca="false">M13*Parameters!$C$7*Parameters!$C$12/$I$11</f>
        <v>20.6024096385542</v>
      </c>
      <c r="Q13" s="316" t="s">
        <v>1184</v>
      </c>
      <c r="R13" s="316"/>
      <c r="S13" s="316"/>
      <c r="T13" s="316"/>
      <c r="U13" s="89" t="n">
        <v>2000</v>
      </c>
      <c r="V13" s="319" t="n">
        <f aca="false">L13*Parameters!$C$8</f>
        <v>0.58425</v>
      </c>
      <c r="W13" s="319" t="n">
        <f aca="false">M13*Parameters!$C$8</f>
        <v>0.9025</v>
      </c>
      <c r="X13" s="319" t="n">
        <f aca="false">V13/'Scopes ratios details'!$F$61</f>
        <v>0.872176511096484</v>
      </c>
      <c r="Y13" s="319" t="n">
        <f aca="false">W13/'Scopes ratios details'!$F$61</f>
        <v>1.34726452933603</v>
      </c>
      <c r="Z13" s="316"/>
    </row>
    <row r="14" customFormat="false" ht="15.75" hidden="false" customHeight="false" outlineLevel="0" collapsed="false">
      <c r="K14" s="89" t="n">
        <v>1999</v>
      </c>
      <c r="L14" s="0" t="n">
        <v>1.45</v>
      </c>
      <c r="M14" s="0" t="n">
        <v>1.2</v>
      </c>
      <c r="N14" s="115" t="n">
        <f aca="false">L14*Parameters!$C$7*Parameters!$C$12/$I$11</f>
        <v>15.7228915662651</v>
      </c>
      <c r="O14" s="115" t="n">
        <f aca="false">M14*Parameters!$C$7*Parameters!$C$12/$I$11</f>
        <v>13.0120481927711</v>
      </c>
      <c r="Q14" s="316" t="s">
        <v>1185</v>
      </c>
      <c r="R14" s="316"/>
      <c r="S14" s="316"/>
      <c r="T14" s="316"/>
      <c r="U14" s="89" t="n">
        <v>1999</v>
      </c>
      <c r="V14" s="319" t="n">
        <f aca="false">L14*Parameters!$C$8</f>
        <v>0.68875</v>
      </c>
      <c r="W14" s="319" t="n">
        <f aca="false">M14*Parameters!$C$8</f>
        <v>0.57</v>
      </c>
      <c r="X14" s="319" t="n">
        <f aca="false">V14/'Scopes ratios details'!$F$61</f>
        <v>1.02817556186171</v>
      </c>
      <c r="Y14" s="319" t="n">
        <f aca="false">W14/'Scopes ratios details'!$F$61</f>
        <v>0.850903913264863</v>
      </c>
      <c r="Z14" s="316"/>
    </row>
    <row r="15" customFormat="false" ht="15.75" hidden="false" customHeight="true" outlineLevel="0" collapsed="false">
      <c r="C15" s="107" t="s">
        <v>1186</v>
      </c>
      <c r="D15" s="107"/>
      <c r="E15" s="107"/>
      <c r="F15" s="107"/>
      <c r="G15" s="107"/>
      <c r="K15" s="89" t="n">
        <v>1998</v>
      </c>
      <c r="L15" s="0" t="n">
        <v>1.7</v>
      </c>
      <c r="M15" s="0" t="n">
        <v>1.26</v>
      </c>
      <c r="N15" s="115" t="n">
        <f aca="false">L15*Parameters!$C$7*Parameters!$C$12/$I$11</f>
        <v>18.433734939759</v>
      </c>
      <c r="O15" s="115" t="n">
        <f aca="false">M15*Parameters!$C$7*Parameters!$C$12/$I$11</f>
        <v>13.6626506024096</v>
      </c>
      <c r="Q15" s="316" t="s">
        <v>1187</v>
      </c>
      <c r="R15" s="316"/>
      <c r="S15" s="316"/>
      <c r="T15" s="316"/>
      <c r="U15" s="89" t="n">
        <v>1998</v>
      </c>
      <c r="V15" s="319" t="n">
        <f aca="false">L15*Parameters!$C$8</f>
        <v>0.8075</v>
      </c>
      <c r="W15" s="319" t="n">
        <f aca="false">M15*Parameters!$C$8</f>
        <v>0.5985</v>
      </c>
      <c r="X15" s="319" t="n">
        <f aca="false">V15/'Scopes ratios details'!$F$61</f>
        <v>1.20544721045856</v>
      </c>
      <c r="Y15" s="319" t="n">
        <f aca="false">W15/'Scopes ratios details'!$F$61</f>
        <v>0.893449108928106</v>
      </c>
      <c r="Z15" s="316"/>
    </row>
    <row r="16" customFormat="false" ht="15.75" hidden="false" customHeight="false" outlineLevel="0" collapsed="false">
      <c r="C16" s="107"/>
      <c r="D16" s="107"/>
      <c r="E16" s="107"/>
      <c r="F16" s="107"/>
      <c r="G16" s="107"/>
      <c r="K16" s="89" t="n">
        <v>1997</v>
      </c>
      <c r="L16" s="0" t="n">
        <v>1.67</v>
      </c>
      <c r="M16" s="0" t="n">
        <v>1.4</v>
      </c>
      <c r="N16" s="115" t="n">
        <f aca="false">L16*Parameters!$C$7*Parameters!$C$12/$I$11</f>
        <v>18.1084337349398</v>
      </c>
      <c r="O16" s="115" t="n">
        <f aca="false">M16*Parameters!$C$7*Parameters!$C$12/$I$11</f>
        <v>15.1807228915663</v>
      </c>
      <c r="Q16" s="316" t="s">
        <v>1188</v>
      </c>
      <c r="R16" s="316"/>
      <c r="S16" s="316"/>
      <c r="T16" s="316"/>
      <c r="U16" s="89" t="n">
        <v>1997</v>
      </c>
      <c r="V16" s="319" t="n">
        <f aca="false">L16*Parameters!$C$8</f>
        <v>0.79325</v>
      </c>
      <c r="W16" s="319" t="n">
        <f aca="false">M16*Parameters!$C$8</f>
        <v>0.665</v>
      </c>
      <c r="X16" s="319" t="n">
        <f aca="false">V16/'Scopes ratios details'!$F$61</f>
        <v>1.18417461262693</v>
      </c>
      <c r="Y16" s="319" t="n">
        <f aca="false">W16/'Scopes ratios details'!$F$61</f>
        <v>0.99272123214234</v>
      </c>
      <c r="Z16" s="316"/>
    </row>
    <row r="17" customFormat="false" ht="15.75" hidden="false" customHeight="false" outlineLevel="0" collapsed="false">
      <c r="C17" s="107"/>
      <c r="D17" s="107"/>
      <c r="E17" s="107"/>
      <c r="F17" s="107"/>
      <c r="G17" s="107"/>
      <c r="K17" s="89" t="n">
        <v>1996</v>
      </c>
      <c r="L17" s="0" t="n">
        <v>1.46</v>
      </c>
      <c r="M17" s="317"/>
      <c r="N17" s="115" t="n">
        <f aca="false">L17*Parameters!$C$7*Parameters!$C$12/$I$11</f>
        <v>15.8313253012048</v>
      </c>
      <c r="O17" s="318"/>
      <c r="Q17" s="316"/>
      <c r="R17" s="316"/>
      <c r="S17" s="316"/>
      <c r="T17" s="316"/>
      <c r="U17" s="89" t="n">
        <v>1996</v>
      </c>
      <c r="V17" s="319" t="n">
        <f aca="false">L17*Parameters!$C$8</f>
        <v>0.6935</v>
      </c>
      <c r="W17" s="317"/>
      <c r="X17" s="319" t="n">
        <f aca="false">V17/'Scopes ratios details'!$F$61</f>
        <v>1.03526642780558</v>
      </c>
      <c r="Y17" s="317"/>
      <c r="Z17" s="316"/>
    </row>
    <row r="18" customFormat="false" ht="15.75" hidden="false" customHeight="false" outlineLevel="0" collapsed="false">
      <c r="C18" s="107"/>
      <c r="D18" s="107"/>
      <c r="E18" s="107"/>
      <c r="F18" s="107"/>
      <c r="G18" s="107"/>
      <c r="K18" s="89" t="n">
        <v>1995</v>
      </c>
      <c r="L18" s="0" t="n">
        <v>1.45</v>
      </c>
      <c r="M18" s="317"/>
      <c r="N18" s="115" t="n">
        <f aca="false">L18*Parameters!$C$7*Parameters!$C$12/$I$11</f>
        <v>15.7228915662651</v>
      </c>
      <c r="O18" s="318"/>
      <c r="Q18" s="316" t="s">
        <v>1189</v>
      </c>
      <c r="R18" s="316"/>
      <c r="S18" s="316"/>
      <c r="T18" s="316"/>
      <c r="U18" s="89" t="n">
        <v>1995</v>
      </c>
      <c r="V18" s="319" t="n">
        <f aca="false">L18*Parameters!$C$8</f>
        <v>0.68875</v>
      </c>
      <c r="W18" s="317"/>
      <c r="X18" s="319" t="n">
        <f aca="false">V18/'Scopes ratios details'!$F$61</f>
        <v>1.02817556186171</v>
      </c>
      <c r="Y18" s="317"/>
      <c r="Z18" s="316"/>
    </row>
    <row r="19" customFormat="false" ht="15.75" hidden="false" customHeight="false" outlineLevel="0" collapsed="false">
      <c r="C19" s="107"/>
      <c r="D19" s="107"/>
      <c r="E19" s="107"/>
      <c r="F19" s="107"/>
      <c r="G19" s="107"/>
      <c r="Q19" s="316" t="s">
        <v>1190</v>
      </c>
      <c r="R19" s="316"/>
      <c r="S19" s="316"/>
      <c r="T19" s="316"/>
      <c r="U19" s="316"/>
      <c r="V19" s="316"/>
      <c r="W19" s="316"/>
      <c r="X19" s="316"/>
      <c r="Y19" s="316"/>
      <c r="Z19" s="316"/>
    </row>
    <row r="20" customFormat="false" ht="15.75" hidden="false" customHeight="false" outlineLevel="0" collapsed="false">
      <c r="C20" s="107"/>
      <c r="D20" s="107"/>
      <c r="E20" s="107"/>
      <c r="F20" s="107"/>
      <c r="G20" s="107"/>
      <c r="Q20" s="316" t="s">
        <v>1191</v>
      </c>
      <c r="R20" s="316"/>
      <c r="S20" s="316"/>
      <c r="T20" s="316"/>
      <c r="U20" s="316"/>
      <c r="V20" s="316"/>
      <c r="W20" s="316"/>
      <c r="X20" s="316"/>
      <c r="Y20" s="316"/>
      <c r="Z20" s="316"/>
    </row>
    <row r="21" customFormat="false" ht="15.75" hidden="false" customHeight="false" outlineLevel="0" collapsed="false">
      <c r="C21" s="107"/>
      <c r="D21" s="107"/>
      <c r="E21" s="107"/>
      <c r="F21" s="107"/>
      <c r="G21" s="107"/>
      <c r="Q21" s="316" t="s">
        <v>1192</v>
      </c>
      <c r="R21" s="316"/>
      <c r="S21" s="316"/>
      <c r="T21" s="316"/>
      <c r="U21" s="316"/>
      <c r="V21" s="316"/>
      <c r="W21" s="316"/>
      <c r="X21" s="316"/>
      <c r="Y21" s="316"/>
      <c r="Z21" s="316"/>
    </row>
    <row r="22" customFormat="false" ht="15.75" hidden="false" customHeight="false" outlineLevel="0" collapsed="false">
      <c r="C22" s="107"/>
      <c r="D22" s="107"/>
      <c r="E22" s="107"/>
      <c r="F22" s="107"/>
      <c r="G22" s="107"/>
      <c r="Q22" s="316" t="s">
        <v>1193</v>
      </c>
      <c r="R22" s="316"/>
      <c r="S22" s="316"/>
      <c r="T22" s="316"/>
      <c r="U22" s="316"/>
      <c r="V22" s="316"/>
      <c r="W22" s="316"/>
      <c r="X22" s="316"/>
      <c r="Y22" s="316"/>
      <c r="Z22" s="316"/>
    </row>
    <row r="23" customFormat="false" ht="15.75" hidden="false" customHeight="false" outlineLevel="0" collapsed="false">
      <c r="C23" s="107"/>
      <c r="D23" s="107"/>
      <c r="E23" s="107"/>
      <c r="F23" s="107"/>
      <c r="G23" s="107"/>
      <c r="Q23" s="316" t="s">
        <v>1194</v>
      </c>
      <c r="R23" s="316"/>
      <c r="S23" s="316"/>
      <c r="T23" s="316"/>
      <c r="U23" s="316"/>
      <c r="V23" s="316"/>
      <c r="W23" s="316"/>
      <c r="X23" s="316"/>
      <c r="Y23" s="316"/>
      <c r="Z23" s="316"/>
    </row>
    <row r="24" customFormat="false" ht="15.75" hidden="false" customHeight="false" outlineLevel="0" collapsed="false">
      <c r="C24" s="0" t="s">
        <v>1195</v>
      </c>
      <c r="Q24" s="316" t="s">
        <v>1196</v>
      </c>
      <c r="R24" s="316"/>
      <c r="S24" s="316"/>
      <c r="T24" s="316"/>
      <c r="U24" s="316"/>
      <c r="V24" s="316"/>
      <c r="W24" s="316"/>
      <c r="X24" s="316"/>
      <c r="Y24" s="316"/>
      <c r="Z24" s="316"/>
    </row>
    <row r="25" customFormat="false" ht="15.75" hidden="false" customHeight="false" outlineLevel="0" collapsed="false">
      <c r="Q25" s="316" t="s">
        <v>1197</v>
      </c>
      <c r="R25" s="316"/>
      <c r="S25" s="316"/>
      <c r="T25" s="316"/>
      <c r="U25" s="316"/>
      <c r="V25" s="316"/>
      <c r="W25" s="316"/>
      <c r="X25" s="316"/>
      <c r="Y25" s="316"/>
      <c r="Z25" s="316"/>
    </row>
    <row r="28" customFormat="false" ht="15.75" hidden="false" customHeight="false" outlineLevel="0" collapsed="false">
      <c r="L28" s="322" t="s">
        <v>1001</v>
      </c>
      <c r="M28" s="315" t="s">
        <v>1001</v>
      </c>
      <c r="N28" s="315" t="s">
        <v>553</v>
      </c>
    </row>
    <row r="29" customFormat="false" ht="15.75" hidden="false" customHeight="false" outlineLevel="0" collapsed="false">
      <c r="L29" s="323" t="s">
        <v>1198</v>
      </c>
      <c r="M29" s="113" t="s">
        <v>1199</v>
      </c>
      <c r="N29" s="113" t="s">
        <v>1199</v>
      </c>
      <c r="W29" s="89" t="s">
        <v>1199</v>
      </c>
    </row>
    <row r="30" customFormat="false" ht="15.75" hidden="false" customHeight="false" outlineLevel="0" collapsed="false">
      <c r="K30" s="89" t="n">
        <v>2008</v>
      </c>
      <c r="L30" s="316" t="n">
        <f aca="false">1.43</f>
        <v>1.43</v>
      </c>
      <c r="M30" s="0" t="n">
        <v>1.23</v>
      </c>
      <c r="N30" s="115" t="n">
        <f aca="false">M30*Parameters!$C$7*Parameters!$C$12/$I$11</f>
        <v>13.3373493975904</v>
      </c>
      <c r="U30" s="89" t="n">
        <v>2008</v>
      </c>
      <c r="W30" s="319" t="n">
        <f aca="false">M30*Parameters!$C$8</f>
        <v>0.58425</v>
      </c>
      <c r="Y30" s="319" t="n">
        <f aca="false">W30/'Scopes ratios details'!$F$61</f>
        <v>0.872176511096484</v>
      </c>
    </row>
    <row r="31" customFormat="false" ht="15.75" hidden="false" customHeight="false" outlineLevel="0" collapsed="false">
      <c r="L31" s="316" t="s">
        <v>1200</v>
      </c>
    </row>
    <row r="36" customFormat="false" ht="182.25" hidden="false" customHeight="true" outlineLevel="0" collapsed="false">
      <c r="K36" s="107" t="s">
        <v>1201</v>
      </c>
      <c r="L36" s="107"/>
      <c r="M36" s="107"/>
      <c r="N36" s="107"/>
      <c r="O36" s="107"/>
      <c r="P36" s="107"/>
    </row>
  </sheetData>
  <mergeCells count="5">
    <mergeCell ref="C4:E4"/>
    <mergeCell ref="K4:M4"/>
    <mergeCell ref="V4:Y4"/>
    <mergeCell ref="C15:G23"/>
    <mergeCell ref="K36:P36"/>
  </mergeCells>
  <hyperlinks>
    <hyperlink ref="D2" r:id="rId1" display="https://doi.org/10.1016/j.jclepro.2011.03.004"/>
    <hyperlink ref="L2" r:id="rId2" display="https://doi.org/10.1109/ISEE.2008.4562888"/>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I1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F20" activeCellId="0" sqref="F20"/>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3" min="3" style="0" width="24.63"/>
    <col collapsed="false" customWidth="true" hidden="false" outlineLevel="0" max="6" min="6" style="0" width="45.5"/>
    <col collapsed="false" customWidth="true" hidden="false" outlineLevel="0" max="8" min="8" style="0" width="32.5"/>
    <col collapsed="false" customWidth="true" hidden="false" outlineLevel="0" max="9" min="9" style="0" width="16"/>
    <col collapsed="false" customWidth="true" hidden="false" outlineLevel="0" max="11" min="11" style="257" width="1.26"/>
  </cols>
  <sheetData>
    <row r="2" customFormat="false" ht="15.75" hidden="false" customHeight="false" outlineLevel="0" collapsed="false">
      <c r="B2" s="92" t="s">
        <v>508</v>
      </c>
      <c r="C2" s="220" t="s">
        <v>176</v>
      </c>
    </row>
    <row r="4" customFormat="false" ht="21" hidden="false" customHeight="false" outlineLevel="0" collapsed="false">
      <c r="B4" s="259" t="s">
        <v>556</v>
      </c>
      <c r="C4" s="259"/>
      <c r="D4" s="259"/>
      <c r="G4" s="259" t="s">
        <v>984</v>
      </c>
      <c r="H4" s="259"/>
      <c r="I4" s="259"/>
    </row>
    <row r="5" customFormat="false" ht="15.75" hidden="false" customHeight="false" outlineLevel="0" collapsed="false">
      <c r="B5" s="89"/>
      <c r="C5" s="111"/>
      <c r="D5" s="111" t="s">
        <v>1001</v>
      </c>
      <c r="E5" s="111" t="s">
        <v>553</v>
      </c>
      <c r="G5" s="89"/>
      <c r="H5" s="111"/>
      <c r="I5" s="260" t="s">
        <v>551</v>
      </c>
    </row>
    <row r="6" customFormat="false" ht="15.75" hidden="false" customHeight="false" outlineLevel="0" collapsed="false">
      <c r="B6" s="0" t="n">
        <v>2016</v>
      </c>
      <c r="C6" s="89" t="s">
        <v>1202</v>
      </c>
      <c r="D6" s="110" t="n">
        <v>2</v>
      </c>
      <c r="E6" s="324" t="n">
        <f aca="false">D6*Parameters!$C$12*Parameters!$C$3</f>
        <v>18</v>
      </c>
      <c r="G6" s="0" t="n">
        <v>2016</v>
      </c>
      <c r="H6" s="89" t="s">
        <v>1203</v>
      </c>
      <c r="I6" s="0" t="n">
        <v>3.5</v>
      </c>
    </row>
    <row r="7" customFormat="false" ht="15.75" hidden="false" customHeight="false" outlineLevel="0" collapsed="false">
      <c r="B7" s="0" t="n">
        <v>2016</v>
      </c>
      <c r="C7" s="89" t="s">
        <v>1204</v>
      </c>
      <c r="D7" s="110" t="n">
        <v>3</v>
      </c>
      <c r="E7" s="324" t="n">
        <f aca="false">D7*Parameters!$C$12*Parameters!$C$3</f>
        <v>27</v>
      </c>
      <c r="G7" s="0" t="n">
        <v>2016</v>
      </c>
      <c r="H7" s="89" t="s">
        <v>1205</v>
      </c>
      <c r="I7" s="0" t="n">
        <v>4</v>
      </c>
    </row>
    <row r="8" customFormat="false" ht="15.75" hidden="false" customHeight="false" outlineLevel="0" collapsed="false">
      <c r="B8" s="0" t="n">
        <v>1995</v>
      </c>
      <c r="C8" s="89" t="s">
        <v>1206</v>
      </c>
      <c r="D8" s="29" t="n">
        <v>2</v>
      </c>
      <c r="E8" s="324" t="n">
        <f aca="false">D8*Parameters!$C$12*Parameters!$C$3/'Deng data'!$I$11</f>
        <v>21.6867469879518</v>
      </c>
      <c r="G8" s="0" t="n">
        <v>2016</v>
      </c>
      <c r="H8" s="89" t="s">
        <v>1207</v>
      </c>
      <c r="I8" s="0" t="n">
        <v>3</v>
      </c>
    </row>
    <row r="9" customFormat="false" ht="15.75" hidden="false" customHeight="false" outlineLevel="0" collapsed="false">
      <c r="B9" s="0" t="n">
        <v>1995</v>
      </c>
      <c r="C9" s="89" t="s">
        <v>1208</v>
      </c>
      <c r="D9" s="29" t="n">
        <v>4</v>
      </c>
      <c r="E9" s="324" t="n">
        <f aca="false">D9*Parameters!$C$12*Parameters!$C$3/'Deng data'!$I$11</f>
        <v>43.3734939759036</v>
      </c>
      <c r="G9" s="0" t="n">
        <v>1995</v>
      </c>
      <c r="H9" s="89" t="s">
        <v>1209</v>
      </c>
      <c r="I9" s="0" t="n">
        <v>1</v>
      </c>
    </row>
    <row r="10" customFormat="false" ht="15.75" hidden="false" customHeight="false" outlineLevel="0" collapsed="false">
      <c r="B10" s="0" t="n">
        <v>1995</v>
      </c>
      <c r="C10" s="89" t="s">
        <v>1210</v>
      </c>
      <c r="D10" s="29" t="n">
        <v>3</v>
      </c>
      <c r="E10" s="324" t="n">
        <f aca="false">D10*Parameters!$C$12*Parameters!$C$3/'Deng data'!$I$11</f>
        <v>32.5301204819277</v>
      </c>
      <c r="G10" s="0" t="n">
        <v>1995</v>
      </c>
      <c r="H10" s="89" t="s">
        <v>1211</v>
      </c>
      <c r="I10" s="0" t="n">
        <v>1.5</v>
      </c>
    </row>
    <row r="11" customFormat="false" ht="15.75" hidden="false" customHeight="false" outlineLevel="0" collapsed="false">
      <c r="B11" s="0" t="n">
        <v>1995</v>
      </c>
      <c r="C11" s="89" t="s">
        <v>1212</v>
      </c>
      <c r="D11" s="29" t="n">
        <v>10</v>
      </c>
      <c r="E11" s="324" t="n">
        <f aca="false">D11*Parameters!$C$12*Parameters!$C$3/'Deng data'!$I$11</f>
        <v>108.433734939759</v>
      </c>
      <c r="F11" s="108" t="s">
        <v>1213</v>
      </c>
    </row>
  </sheetData>
  <mergeCells count="2">
    <mergeCell ref="B4:D4"/>
    <mergeCell ref="G4:I4"/>
  </mergeCells>
  <hyperlinks>
    <hyperlink ref="C2" r:id="rId1" display="https://download.atlantis-press.com/article/25860375.pdf"/>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J1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8" activeCellId="0" sqref="H8"/>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3" min="3" style="0" width="25.5"/>
    <col collapsed="false" customWidth="true" hidden="false" outlineLevel="0" max="4" min="4" style="0" width="18.75"/>
    <col collapsed="false" customWidth="true" hidden="false" outlineLevel="0" max="5" min="5" style="0" width="14.75"/>
    <col collapsed="false" customWidth="true" hidden="false" outlineLevel="0" max="8" min="8" style="0" width="27.37"/>
    <col collapsed="false" customWidth="true" hidden="false" outlineLevel="0" max="9" min="9" style="0" width="19.5"/>
    <col collapsed="false" customWidth="true" hidden="false" outlineLevel="0" max="10" min="10" style="0" width="17.25"/>
    <col collapsed="false" customWidth="true" hidden="false" outlineLevel="0" max="17" min="17" style="257" width="1.26"/>
  </cols>
  <sheetData>
    <row r="2" customFormat="false" ht="15.75" hidden="false" customHeight="false" outlineLevel="0" collapsed="false">
      <c r="B2" s="92" t="s">
        <v>508</v>
      </c>
      <c r="C2" s="220" t="s">
        <v>734</v>
      </c>
      <c r="D2" s="220"/>
    </row>
    <row r="4" customFormat="false" ht="21" hidden="false" customHeight="false" outlineLevel="0" collapsed="false">
      <c r="B4" s="259" t="s">
        <v>556</v>
      </c>
      <c r="C4" s="259"/>
      <c r="D4" s="325"/>
      <c r="G4" s="259" t="s">
        <v>984</v>
      </c>
      <c r="H4" s="259"/>
      <c r="I4" s="259"/>
      <c r="J4" s="259"/>
    </row>
    <row r="5" customFormat="false" ht="15.75" hidden="false" customHeight="false" outlineLevel="0" collapsed="false">
      <c r="B5" s="89"/>
      <c r="C5" s="111"/>
      <c r="D5" s="111" t="s">
        <v>992</v>
      </c>
      <c r="E5" s="111" t="s">
        <v>553</v>
      </c>
      <c r="G5" s="89"/>
      <c r="H5" s="111"/>
      <c r="I5" s="111" t="s">
        <v>992</v>
      </c>
      <c r="J5" s="260" t="s">
        <v>551</v>
      </c>
    </row>
    <row r="6" customFormat="false" ht="15.75" hidden="false" customHeight="false" outlineLevel="0" collapsed="false">
      <c r="B6" s="0" t="n">
        <v>2001</v>
      </c>
      <c r="C6" s="89" t="s">
        <v>1214</v>
      </c>
      <c r="D6" s="326" t="s">
        <v>75</v>
      </c>
      <c r="E6" s="324" t="n">
        <v>55.7</v>
      </c>
      <c r="G6" s="0" t="n">
        <v>2001</v>
      </c>
      <c r="H6" s="89" t="s">
        <v>1214</v>
      </c>
      <c r="I6" s="326" t="s">
        <v>75</v>
      </c>
      <c r="J6" s="0" t="n">
        <v>3.57</v>
      </c>
    </row>
    <row r="7" customFormat="false" ht="15.75" hidden="false" customHeight="false" outlineLevel="0" collapsed="false">
      <c r="B7" s="0" t="n">
        <v>2010</v>
      </c>
      <c r="C7" s="89" t="s">
        <v>1214</v>
      </c>
      <c r="D7" s="326" t="s">
        <v>75</v>
      </c>
      <c r="E7" s="324" t="n">
        <v>79.6</v>
      </c>
      <c r="G7" s="0" t="n">
        <v>2010</v>
      </c>
      <c r="H7" s="89" t="s">
        <v>1214</v>
      </c>
      <c r="I7" s="326" t="s">
        <v>75</v>
      </c>
      <c r="J7" s="0" t="n">
        <v>5.41</v>
      </c>
    </row>
    <row r="8" customFormat="false" ht="15.75" hidden="false" customHeight="false" outlineLevel="0" collapsed="false">
      <c r="C8" s="89" t="s">
        <v>1215</v>
      </c>
      <c r="D8" s="89" t="n">
        <v>350</v>
      </c>
      <c r="E8" s="324" t="n">
        <v>94</v>
      </c>
      <c r="H8" s="89" t="s">
        <v>1215</v>
      </c>
      <c r="I8" s="89" t="n">
        <v>350</v>
      </c>
      <c r="J8" s="0" t="n">
        <v>6.6</v>
      </c>
    </row>
    <row r="9" customFormat="false" ht="15.75" hidden="false" customHeight="false" outlineLevel="0" collapsed="false">
      <c r="C9" s="89" t="s">
        <v>1215</v>
      </c>
      <c r="D9" s="89" t="n">
        <v>250</v>
      </c>
      <c r="E9" s="324" t="n">
        <v>75</v>
      </c>
      <c r="H9" s="89" t="s">
        <v>1215</v>
      </c>
      <c r="I9" s="89" t="n">
        <v>250</v>
      </c>
      <c r="J9" s="0" t="n">
        <v>4.7</v>
      </c>
    </row>
    <row r="10" customFormat="false" ht="15.75" hidden="false" customHeight="false" outlineLevel="0" collapsed="false">
      <c r="C10" s="89" t="s">
        <v>1215</v>
      </c>
      <c r="D10" s="89" t="n">
        <v>180</v>
      </c>
      <c r="E10" s="324" t="n">
        <v>71</v>
      </c>
      <c r="H10" s="89" t="s">
        <v>1215</v>
      </c>
      <c r="I10" s="89" t="n">
        <v>180</v>
      </c>
      <c r="J10" s="0" t="n">
        <v>4.8</v>
      </c>
    </row>
    <row r="11" customFormat="false" ht="15.75" hidden="false" customHeight="false" outlineLevel="0" collapsed="false">
      <c r="C11" s="89" t="s">
        <v>1215</v>
      </c>
      <c r="D11" s="89" t="n">
        <v>130</v>
      </c>
      <c r="E11" s="324" t="n">
        <v>56</v>
      </c>
      <c r="H11" s="89" t="s">
        <v>1215</v>
      </c>
      <c r="I11" s="89" t="n">
        <v>130</v>
      </c>
      <c r="J11" s="0" t="n">
        <v>3.6</v>
      </c>
    </row>
    <row r="12" customFormat="false" ht="15.75" hidden="false" customHeight="false" outlineLevel="0" collapsed="false">
      <c r="C12" s="89" t="s">
        <v>1215</v>
      </c>
      <c r="D12" s="89" t="n">
        <v>90</v>
      </c>
      <c r="E12" s="0" t="n">
        <v>57</v>
      </c>
      <c r="H12" s="89" t="s">
        <v>1215</v>
      </c>
      <c r="I12" s="89" t="n">
        <v>90</v>
      </c>
      <c r="J12" s="0" t="n">
        <v>4.3</v>
      </c>
    </row>
    <row r="13" customFormat="false" ht="15.75" hidden="false" customHeight="false" outlineLevel="0" collapsed="false">
      <c r="C13" s="89" t="s">
        <v>1215</v>
      </c>
      <c r="D13" s="89" t="n">
        <v>65</v>
      </c>
      <c r="E13" s="0" t="n">
        <v>64</v>
      </c>
      <c r="H13" s="89" t="s">
        <v>1215</v>
      </c>
      <c r="I13" s="89" t="n">
        <v>65</v>
      </c>
      <c r="J13" s="0" t="n">
        <v>4.3</v>
      </c>
    </row>
    <row r="14" customFormat="false" ht="15.75" hidden="false" customHeight="false" outlineLevel="0" collapsed="false">
      <c r="C14" s="89" t="s">
        <v>1215</v>
      </c>
      <c r="D14" s="89" t="n">
        <v>45</v>
      </c>
      <c r="E14" s="0" t="n">
        <v>80</v>
      </c>
      <c r="H14" s="89" t="s">
        <v>1215</v>
      </c>
      <c r="I14" s="89" t="n">
        <v>45</v>
      </c>
      <c r="J14" s="0" t="n">
        <v>5.4</v>
      </c>
    </row>
    <row r="16" customFormat="false" ht="15.75" hidden="false" customHeight="false" outlineLevel="0" collapsed="false">
      <c r="C16" s="112" t="s">
        <v>1093</v>
      </c>
      <c r="D16" s="112"/>
    </row>
  </sheetData>
  <mergeCells count="2">
    <mergeCell ref="B4:C4"/>
    <mergeCell ref="G4:J4"/>
  </mergeCells>
  <hyperlinks>
    <hyperlink ref="C2" r:id="rId1" display="https://doi.org/10.1109/ICCAD.2013.6691120"/>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AB3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N4" activeCellId="0" sqref="N4"/>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8" min="5" style="0" width="11.89"/>
    <col collapsed="false" customWidth="true" hidden="false" outlineLevel="0" max="13" min="13" style="257" width="1.26"/>
    <col collapsed="false" customWidth="true" hidden="false" outlineLevel="0" max="19" min="17" style="0" width="13.75"/>
    <col collapsed="false" customWidth="true" hidden="false" outlineLevel="0" max="21" min="21" style="257" width="1.26"/>
  </cols>
  <sheetData>
    <row r="2" customFormat="false" ht="15.75" hidden="false" customHeight="false" outlineLevel="0" collapsed="false">
      <c r="B2" s="92" t="s">
        <v>508</v>
      </c>
      <c r="C2" s="220" t="s">
        <v>865</v>
      </c>
      <c r="N2" s="92" t="s">
        <v>508</v>
      </c>
      <c r="O2" s="220" t="s">
        <v>156</v>
      </c>
    </row>
    <row r="3" customFormat="false" ht="15.75" hidden="false" customHeight="false" outlineLevel="0" collapsed="false">
      <c r="E3" s="0" t="s">
        <v>1216</v>
      </c>
      <c r="F3" s="0" t="s">
        <v>1217</v>
      </c>
      <c r="G3" s="0" t="s">
        <v>1216</v>
      </c>
      <c r="Q3" s="0" t="s">
        <v>1216</v>
      </c>
      <c r="S3" s="0" t="s">
        <v>1216</v>
      </c>
    </row>
    <row r="4" customFormat="false" ht="21" hidden="false" customHeight="false" outlineLevel="0" collapsed="false">
      <c r="B4" s="259" t="s">
        <v>1218</v>
      </c>
      <c r="C4" s="259"/>
      <c r="D4" s="259"/>
      <c r="E4" s="259"/>
      <c r="F4" s="259"/>
      <c r="G4" s="259"/>
      <c r="N4" s="259" t="s">
        <v>1218</v>
      </c>
      <c r="O4" s="259"/>
      <c r="P4" s="259"/>
      <c r="Q4" s="259"/>
      <c r="R4" s="259"/>
      <c r="S4" s="259"/>
    </row>
    <row r="5" customFormat="false" ht="15.75" hidden="false" customHeight="false" outlineLevel="0" collapsed="false">
      <c r="C5" s="260" t="s">
        <v>1219</v>
      </c>
      <c r="D5" s="260"/>
      <c r="E5" s="260" t="s">
        <v>553</v>
      </c>
      <c r="F5" s="260" t="s">
        <v>553</v>
      </c>
      <c r="G5" s="260" t="s">
        <v>551</v>
      </c>
      <c r="H5" s="252"/>
      <c r="O5" s="260" t="s">
        <v>1219</v>
      </c>
      <c r="P5" s="260"/>
      <c r="Q5" s="260" t="s">
        <v>553</v>
      </c>
      <c r="R5" s="111"/>
      <c r="S5" s="260" t="s">
        <v>551</v>
      </c>
    </row>
    <row r="6" customFormat="false" ht="15.75" hidden="false" customHeight="false" outlineLevel="0" collapsed="false">
      <c r="C6" s="89" t="n">
        <v>350</v>
      </c>
      <c r="E6" s="0" t="n">
        <f aca="false">0.93*100</f>
        <v>93</v>
      </c>
      <c r="F6" s="327"/>
      <c r="G6" s="0" t="n">
        <v>7</v>
      </c>
      <c r="O6" s="89" t="n">
        <v>350</v>
      </c>
      <c r="Q6" s="0" t="n">
        <v>95.59</v>
      </c>
      <c r="S6" s="0" t="n">
        <v>6.41</v>
      </c>
    </row>
    <row r="7" customFormat="false" ht="15.75" hidden="false" customHeight="false" outlineLevel="0" collapsed="false">
      <c r="C7" s="89" t="n">
        <v>250</v>
      </c>
      <c r="E7" s="0" t="n">
        <v>73</v>
      </c>
      <c r="F7" s="327"/>
      <c r="G7" s="0" t="n">
        <v>5</v>
      </c>
      <c r="O7" s="89" t="n">
        <v>250</v>
      </c>
      <c r="Q7" s="0" t="n">
        <v>75.78</v>
      </c>
      <c r="S7" s="0" t="n">
        <v>4.38</v>
      </c>
    </row>
    <row r="8" customFormat="false" ht="15.75" hidden="false" customHeight="false" outlineLevel="0" collapsed="false">
      <c r="C8" s="89" t="n">
        <v>180</v>
      </c>
      <c r="E8" s="0" t="n">
        <v>67</v>
      </c>
      <c r="F8" s="327"/>
      <c r="G8" s="0" t="n">
        <v>5</v>
      </c>
      <c r="O8" s="89" t="n">
        <v>180</v>
      </c>
      <c r="Q8" s="0" t="n">
        <v>70.63</v>
      </c>
      <c r="S8" s="0" t="n">
        <v>4.94</v>
      </c>
    </row>
    <row r="9" customFormat="false" ht="15.75" hidden="false" customHeight="false" outlineLevel="0" collapsed="false">
      <c r="C9" s="89" t="n">
        <v>130</v>
      </c>
      <c r="E9" s="0" t="n">
        <v>53</v>
      </c>
      <c r="F9" s="327"/>
      <c r="G9" s="0" t="n">
        <v>4</v>
      </c>
      <c r="O9" s="89" t="n">
        <v>130</v>
      </c>
      <c r="Q9" s="0" t="n">
        <v>55.8</v>
      </c>
      <c r="S9" s="0" t="n">
        <v>3.41</v>
      </c>
    </row>
    <row r="10" customFormat="false" ht="15.75" hidden="false" customHeight="false" outlineLevel="0" collapsed="false">
      <c r="C10" s="89" t="n">
        <v>90</v>
      </c>
      <c r="E10" s="0" t="n">
        <v>58</v>
      </c>
      <c r="F10" s="91" t="n">
        <f aca="false">124/2.07</f>
        <v>59.9033816425121</v>
      </c>
      <c r="G10" s="0" t="n">
        <v>4</v>
      </c>
      <c r="H10" s="316"/>
      <c r="I10" s="316"/>
      <c r="O10" s="89" t="n">
        <v>90</v>
      </c>
      <c r="Q10" s="0" t="n">
        <v>60.6</v>
      </c>
      <c r="S10" s="0" t="n">
        <v>4.15</v>
      </c>
    </row>
    <row r="11" customFormat="false" ht="15.75" hidden="false" customHeight="false" outlineLevel="0" collapsed="false">
      <c r="C11" s="89" t="n">
        <v>65</v>
      </c>
      <c r="E11" s="0" t="n">
        <v>62</v>
      </c>
      <c r="F11" s="91" t="n">
        <f aca="false">148/2.27</f>
        <v>65.1982378854626</v>
      </c>
      <c r="G11" s="0" t="n">
        <v>4</v>
      </c>
      <c r="H11" s="316"/>
      <c r="I11" s="316"/>
      <c r="O11" s="89" t="n">
        <v>65</v>
      </c>
      <c r="Q11" s="0" t="n">
        <v>65.66</v>
      </c>
      <c r="S11" s="0" t="n">
        <v>4.09</v>
      </c>
    </row>
    <row r="12" customFormat="false" ht="15.75" hidden="false" customHeight="false" outlineLevel="0" collapsed="false">
      <c r="C12" s="89" t="n">
        <v>45</v>
      </c>
      <c r="E12" s="0" t="n">
        <v>77</v>
      </c>
      <c r="F12" s="91" t="n">
        <f aca="false">164/2.07</f>
        <v>79.2270531400966</v>
      </c>
      <c r="G12" s="0" t="n">
        <v>6</v>
      </c>
      <c r="H12" s="316"/>
      <c r="I12" s="316"/>
      <c r="O12" s="89" t="n">
        <v>45</v>
      </c>
      <c r="Q12" s="0" t="n">
        <v>80.67</v>
      </c>
      <c r="S12" s="0" t="n">
        <v>5.49</v>
      </c>
    </row>
    <row r="13" customFormat="false" ht="15.75" hidden="false" customHeight="false" outlineLevel="0" collapsed="false">
      <c r="C13" s="108" t="n">
        <v>28</v>
      </c>
      <c r="D13" s="328"/>
      <c r="E13" s="328" t="n">
        <v>378</v>
      </c>
      <c r="F13" s="329" t="n">
        <f aca="false">598/1.58</f>
        <v>378.481012658228</v>
      </c>
      <c r="G13" s="328" t="n">
        <v>50</v>
      </c>
      <c r="H13" s="316"/>
      <c r="O13" s="108" t="n">
        <v>28</v>
      </c>
      <c r="P13" s="328"/>
      <c r="Q13" s="328" t="n">
        <v>378</v>
      </c>
      <c r="S13" s="328" t="n">
        <v>50</v>
      </c>
    </row>
    <row r="14" customFormat="false" ht="15.75" hidden="false" customHeight="false" outlineLevel="0" collapsed="false">
      <c r="H14" s="316"/>
      <c r="I14" s="316"/>
    </row>
    <row r="15" customFormat="false" ht="15.75" hidden="false" customHeight="false" outlineLevel="0" collapsed="false">
      <c r="H15" s="316"/>
      <c r="I15" s="316"/>
    </row>
    <row r="16" customFormat="false" ht="136.5" hidden="false" customHeight="true" outlineLevel="0" collapsed="false">
      <c r="C16" s="309" t="s">
        <v>1220</v>
      </c>
      <c r="D16" s="309"/>
      <c r="E16" s="309"/>
      <c r="F16" s="309"/>
      <c r="H16" s="316"/>
      <c r="I16" s="316"/>
      <c r="O16" s="261" t="s">
        <v>1221</v>
      </c>
      <c r="P16" s="261"/>
      <c r="Q16" s="261"/>
      <c r="R16" s="261"/>
      <c r="S16" s="261"/>
    </row>
    <row r="17" customFormat="false" ht="15.75" hidden="false" customHeight="false" outlineLevel="0" collapsed="false">
      <c r="C17" s="309"/>
      <c r="D17" s="309"/>
      <c r="E17" s="309"/>
      <c r="F17" s="309"/>
      <c r="H17" s="316"/>
      <c r="I17" s="316"/>
      <c r="O17" s="330"/>
      <c r="P17" s="330"/>
      <c r="Q17" s="330"/>
      <c r="R17" s="330"/>
    </row>
    <row r="18" customFormat="false" ht="15.75" hidden="false" customHeight="false" outlineLevel="0" collapsed="false">
      <c r="C18" s="309"/>
      <c r="D18" s="309"/>
      <c r="E18" s="309"/>
      <c r="F18" s="309"/>
      <c r="L18" s="316"/>
      <c r="O18" s="330"/>
      <c r="P18" s="330"/>
      <c r="Q18" s="330"/>
      <c r="R18" s="330"/>
    </row>
    <row r="19" customFormat="false" ht="15.75" hidden="false" customHeight="false" outlineLevel="0" collapsed="false">
      <c r="C19" s="309"/>
      <c r="D19" s="309"/>
      <c r="E19" s="309"/>
      <c r="F19" s="309"/>
      <c r="L19" s="316"/>
      <c r="O19" s="330"/>
      <c r="P19" s="330"/>
      <c r="Q19" s="330"/>
      <c r="R19" s="330"/>
    </row>
    <row r="20" customFormat="false" ht="18" hidden="false" customHeight="true" outlineLevel="0" collapsed="false">
      <c r="C20" s="309"/>
      <c r="D20" s="309"/>
      <c r="E20" s="309"/>
      <c r="F20" s="309"/>
      <c r="L20" s="316"/>
      <c r="O20" s="108"/>
      <c r="P20" s="108"/>
      <c r="Q20" s="108"/>
      <c r="R20" s="108"/>
    </row>
    <row r="21" customFormat="false" ht="15.75" hidden="false" customHeight="false" outlineLevel="0" collapsed="false">
      <c r="L21" s="316"/>
    </row>
    <row r="22" customFormat="false" ht="15.75" hidden="false" customHeight="false" outlineLevel="0" collapsed="false">
      <c r="L22" s="316"/>
    </row>
    <row r="23" customFormat="false" ht="15.75" hidden="false" customHeight="false" outlineLevel="0" collapsed="false">
      <c r="I23" s="112" t="s">
        <v>1093</v>
      </c>
      <c r="L23" s="316"/>
    </row>
    <row r="24" customFormat="false" ht="15.75" hidden="false" customHeight="false" outlineLevel="0" collapsed="false">
      <c r="L24" s="316"/>
      <c r="T24" s="112" t="s">
        <v>1093</v>
      </c>
    </row>
    <row r="25" customFormat="false" ht="15.75" hidden="false" customHeight="false" outlineLevel="0" collapsed="false">
      <c r="I25" s="316" t="s">
        <v>556</v>
      </c>
      <c r="K25" s="316" t="s">
        <v>67</v>
      </c>
      <c r="L25" s="316"/>
    </row>
    <row r="26" customFormat="false" ht="15.75" hidden="false" customHeight="false" outlineLevel="0" collapsed="false">
      <c r="I26" s="316" t="s">
        <v>1222</v>
      </c>
      <c r="J26" s="316"/>
      <c r="K26" s="316" t="s">
        <v>1223</v>
      </c>
      <c r="L26" s="316"/>
      <c r="T26" s="316" t="s">
        <v>556</v>
      </c>
      <c r="V26" s="316" t="s">
        <v>67</v>
      </c>
      <c r="Y26" s="112"/>
      <c r="Z26" s="112"/>
      <c r="AA26" s="112"/>
      <c r="AB26" s="112"/>
    </row>
    <row r="27" customFormat="false" ht="15.75" hidden="false" customHeight="false" outlineLevel="0" collapsed="false">
      <c r="I27" s="316" t="s">
        <v>1224</v>
      </c>
      <c r="J27" s="316"/>
      <c r="K27" s="316" t="s">
        <v>1225</v>
      </c>
      <c r="T27" s="112" t="s">
        <v>1226</v>
      </c>
      <c r="V27" s="112" t="s">
        <v>1227</v>
      </c>
      <c r="Y27" s="112"/>
      <c r="Z27" s="112"/>
      <c r="AA27" s="112"/>
      <c r="AB27" s="112"/>
    </row>
    <row r="28" customFormat="false" ht="15.75" hidden="false" customHeight="false" outlineLevel="0" collapsed="false">
      <c r="I28" s="316" t="s">
        <v>1228</v>
      </c>
      <c r="J28" s="316"/>
      <c r="K28" s="316" t="s">
        <v>1229</v>
      </c>
      <c r="T28" s="112" t="s">
        <v>1230</v>
      </c>
      <c r="V28" s="112" t="s">
        <v>1231</v>
      </c>
      <c r="Y28" s="112"/>
      <c r="Z28" s="112"/>
      <c r="AA28" s="112"/>
      <c r="AB28" s="112"/>
    </row>
    <row r="29" customFormat="false" ht="15.75" hidden="false" customHeight="false" outlineLevel="0" collapsed="false">
      <c r="I29" s="316" t="s">
        <v>1232</v>
      </c>
      <c r="J29" s="316"/>
      <c r="K29" s="316" t="s">
        <v>1233</v>
      </c>
      <c r="T29" s="112" t="s">
        <v>1234</v>
      </c>
      <c r="V29" s="112" t="s">
        <v>1235</v>
      </c>
      <c r="Y29" s="112"/>
      <c r="Z29" s="112"/>
      <c r="AA29" s="112"/>
      <c r="AB29" s="112"/>
    </row>
    <row r="30" customFormat="false" ht="15.75" hidden="false" customHeight="false" outlineLevel="0" collapsed="false">
      <c r="I30" s="316" t="s">
        <v>1236</v>
      </c>
      <c r="J30" s="316"/>
      <c r="K30" s="316" t="s">
        <v>1237</v>
      </c>
      <c r="T30" s="112" t="s">
        <v>1238</v>
      </c>
      <c r="V30" s="112" t="s">
        <v>1239</v>
      </c>
      <c r="Y30" s="112"/>
      <c r="Z30" s="112"/>
      <c r="AA30" s="112"/>
      <c r="AB30" s="112"/>
    </row>
    <row r="31" customFormat="false" ht="15.75" hidden="false" customHeight="false" outlineLevel="0" collapsed="false">
      <c r="I31" s="316" t="s">
        <v>1240</v>
      </c>
      <c r="J31" s="316"/>
      <c r="K31" s="316" t="s">
        <v>1241</v>
      </c>
      <c r="T31" s="112" t="s">
        <v>1242</v>
      </c>
      <c r="V31" s="112" t="s">
        <v>1243</v>
      </c>
      <c r="Y31" s="112"/>
      <c r="Z31" s="112"/>
      <c r="AA31" s="112"/>
      <c r="AB31" s="112"/>
    </row>
    <row r="32" customFormat="false" ht="15.75" hidden="false" customHeight="false" outlineLevel="0" collapsed="false">
      <c r="I32" s="316" t="s">
        <v>1244</v>
      </c>
      <c r="J32" s="316"/>
      <c r="K32" s="316" t="s">
        <v>1245</v>
      </c>
      <c r="T32" s="112" t="s">
        <v>1246</v>
      </c>
      <c r="V32" s="112" t="s">
        <v>1247</v>
      </c>
      <c r="Y32" s="112"/>
      <c r="Z32" s="112"/>
      <c r="AA32" s="112"/>
      <c r="AB32" s="112"/>
    </row>
    <row r="33" customFormat="false" ht="15.75" hidden="false" customHeight="false" outlineLevel="0" collapsed="false">
      <c r="I33" s="316" t="s">
        <v>1248</v>
      </c>
      <c r="J33" s="316"/>
      <c r="K33" s="316" t="s">
        <v>1249</v>
      </c>
      <c r="T33" s="112" t="s">
        <v>1250</v>
      </c>
      <c r="V33" s="112" t="s">
        <v>1251</v>
      </c>
      <c r="W33" s="112"/>
      <c r="X33" s="112"/>
      <c r="Y33" s="112"/>
      <c r="Z33" s="112"/>
      <c r="AA33" s="112"/>
      <c r="AB33" s="112"/>
    </row>
  </sheetData>
  <mergeCells count="4">
    <mergeCell ref="B4:G4"/>
    <mergeCell ref="N4:S4"/>
    <mergeCell ref="C16:F20"/>
    <mergeCell ref="O16:S16"/>
  </mergeCells>
  <hyperlinks>
    <hyperlink ref="C2" r:id="rId1" display="https://doi.org/10.1109/IGCC.2016.7892605"/>
    <hyperlink ref="O2" r:id="rId2" display="https://doi.org/10.1109/IGCC.2017.8323572"/>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3"/>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P22"/>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F21" activeCellId="0" sqref="F21"/>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2" min="2" style="0" width="37.25"/>
    <col collapsed="false" customWidth="true" hidden="false" outlineLevel="0" max="3" min="3" style="0" width="11.89"/>
    <col collapsed="false" customWidth="true" hidden="false" outlineLevel="0" max="7" min="7" style="0" width="9.13"/>
    <col collapsed="false" customWidth="true" hidden="false" outlineLevel="0" max="8" min="8" style="0" width="11.25"/>
    <col collapsed="false" customWidth="true" hidden="false" outlineLevel="0" max="17" min="17" style="257" width="1.26"/>
  </cols>
  <sheetData>
    <row r="2" customFormat="false" ht="15.75" hidden="false" customHeight="false" outlineLevel="0" collapsed="false">
      <c r="B2" s="92" t="s">
        <v>508</v>
      </c>
      <c r="C2" s="220" t="s">
        <v>417</v>
      </c>
    </row>
    <row r="5" customFormat="false" ht="21" hidden="false" customHeight="true" outlineLevel="0" collapsed="false">
      <c r="B5" s="113" t="s">
        <v>1252</v>
      </c>
      <c r="C5" s="113" t="s">
        <v>1253</v>
      </c>
      <c r="H5" s="331" t="s">
        <v>1254</v>
      </c>
      <c r="I5" s="331"/>
      <c r="J5" s="331"/>
      <c r="K5" s="331"/>
      <c r="L5" s="331"/>
      <c r="M5" s="331"/>
      <c r="N5" s="331"/>
      <c r="O5" s="331"/>
      <c r="P5" s="331"/>
    </row>
    <row r="6" customFormat="false" ht="15.75" hidden="false" customHeight="false" outlineLevel="0" collapsed="false">
      <c r="B6" s="0" t="s">
        <v>1255</v>
      </c>
      <c r="C6" s="332" t="n">
        <f aca="false">580+930</f>
        <v>1510</v>
      </c>
      <c r="H6" s="331"/>
      <c r="I6" s="331"/>
      <c r="J6" s="331"/>
      <c r="K6" s="331"/>
      <c r="L6" s="331"/>
      <c r="M6" s="331"/>
      <c r="N6" s="331"/>
      <c r="O6" s="331"/>
      <c r="P6" s="331"/>
    </row>
    <row r="7" customFormat="false" ht="15.75" hidden="false" customHeight="true" outlineLevel="0" collapsed="false">
      <c r="B7" s="0" t="s">
        <v>1256</v>
      </c>
      <c r="C7" s="0" t="n">
        <v>2900</v>
      </c>
      <c r="H7" s="331"/>
      <c r="I7" s="331"/>
      <c r="J7" s="331"/>
      <c r="K7" s="331"/>
      <c r="L7" s="331"/>
      <c r="M7" s="331"/>
      <c r="N7" s="331"/>
      <c r="O7" s="331"/>
      <c r="P7" s="331"/>
    </row>
    <row r="8" customFormat="false" ht="15.75" hidden="false" customHeight="false" outlineLevel="0" collapsed="false">
      <c r="B8" s="0" t="s">
        <v>1257</v>
      </c>
      <c r="C8" s="0" t="n">
        <v>2500</v>
      </c>
      <c r="H8" s="331"/>
      <c r="I8" s="331"/>
      <c r="J8" s="331"/>
      <c r="K8" s="331"/>
      <c r="L8" s="331"/>
      <c r="M8" s="331"/>
      <c r="N8" s="331"/>
      <c r="O8" s="331"/>
      <c r="P8" s="331"/>
    </row>
    <row r="9" customFormat="false" ht="15.75" hidden="false" customHeight="false" outlineLevel="0" collapsed="false">
      <c r="B9" s="333" t="s">
        <v>1258</v>
      </c>
      <c r="C9" s="333" t="n">
        <v>7100</v>
      </c>
      <c r="H9" s="334"/>
      <c r="I9" s="334"/>
      <c r="J9" s="334"/>
      <c r="K9" s="334"/>
      <c r="L9" s="334"/>
      <c r="M9" s="334"/>
      <c r="N9" s="334"/>
      <c r="O9" s="334"/>
      <c r="P9" s="334"/>
    </row>
    <row r="10" customFormat="false" ht="15.75" hidden="false" customHeight="false" outlineLevel="0" collapsed="false">
      <c r="B10" s="89" t="s">
        <v>1259</v>
      </c>
      <c r="C10" s="89" t="n">
        <f aca="false">SUM(C6:C9)</f>
        <v>14010</v>
      </c>
      <c r="H10" s="334"/>
      <c r="I10" s="334"/>
      <c r="J10" s="334"/>
      <c r="K10" s="334"/>
      <c r="L10" s="334"/>
      <c r="M10" s="334"/>
      <c r="N10" s="334"/>
      <c r="O10" s="334"/>
      <c r="P10" s="334"/>
    </row>
    <row r="11" customFormat="false" ht="15.75" hidden="false" customHeight="false" outlineLevel="0" collapsed="false">
      <c r="H11" s="334"/>
      <c r="I11" s="334"/>
      <c r="J11" s="334"/>
      <c r="K11" s="334"/>
      <c r="L11" s="334"/>
      <c r="M11" s="334"/>
      <c r="N11" s="334"/>
      <c r="O11" s="334"/>
      <c r="P11" s="334"/>
    </row>
    <row r="12" customFormat="false" ht="16.5" hidden="false" customHeight="true" outlineLevel="0" collapsed="false"/>
    <row r="13" customFormat="false" ht="21" hidden="false" customHeight="false" outlineLevel="0" collapsed="false">
      <c r="B13" s="259" t="s">
        <v>1159</v>
      </c>
      <c r="C13" s="259"/>
      <c r="D13" s="259"/>
    </row>
    <row r="14" customFormat="false" ht="15.75" hidden="false" customHeight="false" outlineLevel="0" collapsed="false">
      <c r="B14" s="89" t="s">
        <v>992</v>
      </c>
      <c r="C14" s="0" t="s">
        <v>1260</v>
      </c>
      <c r="D14" s="252"/>
    </row>
    <row r="15" customFormat="false" ht="15.75" hidden="false" customHeight="false" outlineLevel="0" collapsed="false">
      <c r="B15" s="262" t="s">
        <v>1261</v>
      </c>
      <c r="C15" s="29" t="n">
        <f aca="false">C10</f>
        <v>14010</v>
      </c>
      <c r="D15" s="264" t="s">
        <v>537</v>
      </c>
    </row>
    <row r="16" customFormat="false" ht="15.75" hidden="false" customHeight="false" outlineLevel="0" collapsed="false">
      <c r="B16" s="262" t="s">
        <v>1262</v>
      </c>
      <c r="C16" s="335" t="n">
        <f aca="false">3.14*(300/2)*(300/2)/100</f>
        <v>706.5</v>
      </c>
      <c r="D16" s="264" t="s">
        <v>541</v>
      </c>
      <c r="E16" s="0" t="n">
        <v>70686</v>
      </c>
      <c r="F16" s="0" t="s">
        <v>1081</v>
      </c>
    </row>
    <row r="17" customFormat="false" ht="15.75" hidden="false" customHeight="false" outlineLevel="0" collapsed="false">
      <c r="B17" s="262" t="s">
        <v>1263</v>
      </c>
      <c r="C17" s="335" t="n">
        <v>491</v>
      </c>
      <c r="D17" s="264"/>
      <c r="G17" s="220" t="s">
        <v>1264</v>
      </c>
    </row>
    <row r="18" customFormat="false" ht="15.75" hidden="false" customHeight="true" outlineLevel="0" collapsed="false">
      <c r="B18" s="262" t="s">
        <v>1265</v>
      </c>
      <c r="C18" s="263" t="n">
        <f aca="false">C16/C17</f>
        <v>1.43890020366599</v>
      </c>
      <c r="D18" s="264" t="s">
        <v>1266</v>
      </c>
      <c r="G18" s="220" t="s">
        <v>1267</v>
      </c>
    </row>
    <row r="19" customFormat="false" ht="15.75" hidden="false" customHeight="false" outlineLevel="0" collapsed="false">
      <c r="B19" s="336" t="s">
        <v>1268</v>
      </c>
      <c r="C19" s="335" t="n">
        <v>135.9803</v>
      </c>
      <c r="D19" s="264" t="s">
        <v>1269</v>
      </c>
      <c r="E19" s="0" t="n">
        <v>1.35</v>
      </c>
      <c r="F19" s="337" t="s">
        <v>1266</v>
      </c>
      <c r="G19" s="0" t="s">
        <v>1270</v>
      </c>
      <c r="I19" s="0" t="n">
        <v>7771</v>
      </c>
      <c r="J19" s="0" t="s">
        <v>1081</v>
      </c>
      <c r="K19" s="0" t="n">
        <v>777.1</v>
      </c>
      <c r="L19" s="0" t="s">
        <v>541</v>
      </c>
    </row>
    <row r="20" customFormat="false" ht="15.75" hidden="false" customHeight="false" outlineLevel="0" collapsed="false">
      <c r="B20" s="262" t="s">
        <v>1271</v>
      </c>
      <c r="C20" s="263" t="n">
        <f aca="false">C10/C16</f>
        <v>19.8301486199575</v>
      </c>
      <c r="D20" s="264" t="s">
        <v>553</v>
      </c>
      <c r="G20" s="0" t="s">
        <v>1272</v>
      </c>
      <c r="K20" s="0" t="n">
        <f aca="false">E16-I19</f>
        <v>62915</v>
      </c>
      <c r="L20" s="0" t="n">
        <v>629.1</v>
      </c>
      <c r="M20" s="0" t="s">
        <v>541</v>
      </c>
    </row>
    <row r="21" customFormat="false" ht="18" hidden="false" customHeight="true" outlineLevel="0" collapsed="false">
      <c r="B21" s="262" t="s">
        <v>1273</v>
      </c>
      <c r="C21" s="263" t="n">
        <f aca="false">C10/L20</f>
        <v>22.2699093943729</v>
      </c>
      <c r="D21" s="264" t="s">
        <v>553</v>
      </c>
    </row>
    <row r="22" customFormat="false" ht="31.5" hidden="false" customHeight="false" outlineLevel="0" collapsed="false">
      <c r="B22" s="265" t="s">
        <v>1274</v>
      </c>
      <c r="C22" s="274" t="n">
        <f aca="false">C21/'Deng data'!I11</f>
        <v>26.8312161377987</v>
      </c>
      <c r="D22" s="267" t="s">
        <v>553</v>
      </c>
    </row>
  </sheetData>
  <mergeCells count="2">
    <mergeCell ref="H5:P8"/>
    <mergeCell ref="B13:D13"/>
  </mergeCells>
  <hyperlinks>
    <hyperlink ref="C2" r:id="rId1" display="https://pubs.acs.org/doi/abs/10.1021/es071174k"/>
    <hyperlink ref="G17" r:id="rId2" display="https://math.stackexchange.com/questions/3007527/how-many-squares-fit-in-a-circle"/>
    <hyperlink ref="G18" r:id="rId3" display="https://www.symbolab.com/solver/equation-calculator/491%3D%5Cfrac%7B3.14%5Ccdot%5Cleft(150%5E%7B2%7D%5Cright)%7D%7Bx%7D-%5Cfrac%7B3.14%5Ccdot150%7D%7B%5Csqrt%7B2%5Ccdot%20x%7D%7D?or=input"/>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I2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I14" activeCellId="0" sqref="I14"/>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3" min="3" style="0" width="38.75"/>
    <col collapsed="false" customWidth="true" hidden="false" outlineLevel="0" max="7" min="6" style="0" width="19.25"/>
    <col collapsed="false" customWidth="true" hidden="false" outlineLevel="0" max="9" min="8" style="0" width="26.37"/>
    <col collapsed="false" customWidth="true" hidden="false" outlineLevel="0" max="11" min="11" style="257" width="1.26"/>
  </cols>
  <sheetData>
    <row r="2" customFormat="false" ht="15.75" hidden="false" customHeight="false" outlineLevel="0" collapsed="false">
      <c r="B2" s="92" t="s">
        <v>508</v>
      </c>
      <c r="C2" s="220" t="s">
        <v>225</v>
      </c>
    </row>
    <row r="3" customFormat="false" ht="15.75" hidden="false" customHeight="false" outlineLevel="0" collapsed="false">
      <c r="C3" s="0" t="s">
        <v>983</v>
      </c>
    </row>
    <row r="5" customFormat="false" ht="21" hidden="false" customHeight="false" outlineLevel="0" collapsed="false">
      <c r="B5" s="259" t="s">
        <v>556</v>
      </c>
      <c r="C5" s="259"/>
      <c r="D5" s="259"/>
    </row>
    <row r="6" customFormat="false" ht="31.5" hidden="false" customHeight="false" outlineLevel="0" collapsed="false">
      <c r="C6" s="111"/>
      <c r="D6" s="260" t="s">
        <v>1001</v>
      </c>
      <c r="E6" s="260" t="s">
        <v>553</v>
      </c>
      <c r="H6" s="271" t="s">
        <v>1056</v>
      </c>
      <c r="I6" s="271" t="s">
        <v>1057</v>
      </c>
    </row>
    <row r="7" customFormat="false" ht="15.75" hidden="false" customHeight="false" outlineLevel="0" collapsed="false">
      <c r="B7" s="0" t="n">
        <v>1999</v>
      </c>
      <c r="C7" s="89" t="s">
        <v>1275</v>
      </c>
      <c r="D7" s="0" t="n">
        <v>0.865</v>
      </c>
      <c r="E7" s="115" t="n">
        <f aca="false">D7*Parameters!$C$7*Parameters!$C$12/'Deng data'!$I$11</f>
        <v>9.37951807228916</v>
      </c>
      <c r="F7" s="0" t="s">
        <v>983</v>
      </c>
      <c r="G7" s="0" t="s">
        <v>1276</v>
      </c>
      <c r="H7" s="115" t="n">
        <f aca="false">D7*Parameters!$C$8</f>
        <v>0.410875</v>
      </c>
      <c r="I7" s="115" t="n">
        <f aca="false">H7/'Scopes ratios details'!$F$61</f>
        <v>0.613359904145088</v>
      </c>
    </row>
    <row r="8" customFormat="false" ht="15.75" hidden="false" customHeight="false" outlineLevel="0" collapsed="false">
      <c r="B8" s="0" t="n">
        <v>1999</v>
      </c>
      <c r="C8" s="89" t="s">
        <v>1277</v>
      </c>
      <c r="D8" s="0" t="n">
        <v>3.19</v>
      </c>
      <c r="E8" s="115" t="n">
        <f aca="false">D8*Parameters!$C$7*Parameters!$C$12/'Deng data'!$I$11</f>
        <v>34.5903614457831</v>
      </c>
      <c r="F8" s="0" t="s">
        <v>983</v>
      </c>
      <c r="G8" s="0" t="s">
        <v>1276</v>
      </c>
      <c r="H8" s="115" t="n">
        <f aca="false">D8*Parameters!$C$8</f>
        <v>1.51525</v>
      </c>
      <c r="I8" s="115" t="n">
        <f aca="false">H8/'Scopes ratios details'!$F$61</f>
        <v>2.26198623609576</v>
      </c>
    </row>
    <row r="9" customFormat="false" ht="15.75" hidden="false" customHeight="false" outlineLevel="0" collapsed="false">
      <c r="B9" s="0" t="n">
        <v>1999</v>
      </c>
      <c r="C9" s="89" t="s">
        <v>1278</v>
      </c>
      <c r="D9" s="0" t="n">
        <v>1.432</v>
      </c>
      <c r="E9" s="115" t="n">
        <f aca="false">D9*Parameters!$C$7*Parameters!$C$12/'Deng data'!$I$11</f>
        <v>15.5277108433735</v>
      </c>
      <c r="F9" s="0" t="s">
        <v>983</v>
      </c>
      <c r="G9" s="0" t="s">
        <v>1276</v>
      </c>
      <c r="H9" s="115" t="n">
        <f aca="false">D9*Parameters!$C$8</f>
        <v>0.6802</v>
      </c>
      <c r="I9" s="115" t="n">
        <f aca="false">H9/'Scopes ratios details'!$F$61</f>
        <v>1.01541200316274</v>
      </c>
    </row>
    <row r="10" customFormat="false" ht="15.75" hidden="false" customHeight="false" outlineLevel="0" collapsed="false">
      <c r="B10" s="0" t="n">
        <v>1997</v>
      </c>
      <c r="C10" s="89" t="s">
        <v>1279</v>
      </c>
      <c r="D10" s="0" t="n">
        <v>1.77</v>
      </c>
      <c r="E10" s="115" t="n">
        <f aca="false">D10*Parameters!$C$7*Parameters!$C$12/'Deng data'!$I$11</f>
        <v>19.1927710843373</v>
      </c>
      <c r="F10" s="0" t="s">
        <v>1280</v>
      </c>
      <c r="H10" s="115" t="n">
        <f aca="false">D10*Parameters!$C$8</f>
        <v>0.84075</v>
      </c>
      <c r="I10" s="115" t="n">
        <f aca="false">H10/'Scopes ratios details'!$F$61</f>
        <v>1.25508327206567</v>
      </c>
    </row>
    <row r="11" customFormat="false" ht="15.75" hidden="false" customHeight="false" outlineLevel="0" collapsed="false">
      <c r="B11" s="0" t="n">
        <v>1995</v>
      </c>
      <c r="C11" s="89" t="s">
        <v>1281</v>
      </c>
      <c r="D11" s="0" t="n">
        <v>1.41</v>
      </c>
      <c r="E11" s="115" t="n">
        <f aca="false">D11*Parameters!$C$7*Parameters!$C$12/'Deng data'!$I$11</f>
        <v>15.289156626506</v>
      </c>
      <c r="F11" s="0" t="s">
        <v>1282</v>
      </c>
      <c r="H11" s="115" t="n">
        <f aca="false">D11*Parameters!$C$8</f>
        <v>0.66975</v>
      </c>
      <c r="I11" s="115" t="n">
        <f aca="false">H11/'Scopes ratios details'!$F$61</f>
        <v>0.999812098086214</v>
      </c>
    </row>
    <row r="12" customFormat="false" ht="15.75" hidden="false" customHeight="false" outlineLevel="0" collapsed="false">
      <c r="B12" s="0" t="n">
        <v>1988</v>
      </c>
      <c r="C12" s="89" t="s">
        <v>1283</v>
      </c>
      <c r="D12" s="0" t="n">
        <v>1.86</v>
      </c>
      <c r="E12" s="115" t="n">
        <f aca="false">D12*Parameters!$C$7*Parameters!$C$12/'Deng data'!$I$11</f>
        <v>20.1686746987952</v>
      </c>
      <c r="F12" s="0" t="s">
        <v>1280</v>
      </c>
      <c r="H12" s="115" t="n">
        <f aca="false">D12*Parameters!$C$8</f>
        <v>0.8835</v>
      </c>
      <c r="I12" s="115" t="n">
        <f aca="false">H12/'Scopes ratios details'!$F$61</f>
        <v>1.31890106556054</v>
      </c>
    </row>
    <row r="13" customFormat="false" ht="15.75" hidden="false" customHeight="false" outlineLevel="0" collapsed="false">
      <c r="B13" s="0" t="n">
        <v>1984</v>
      </c>
      <c r="C13" s="89" t="s">
        <v>1279</v>
      </c>
      <c r="D13" s="0" t="n">
        <v>3.26</v>
      </c>
      <c r="E13" s="115" t="n">
        <f aca="false">D13*Parameters!$C$7*Parameters!$C$12/'Deng data'!$I$11</f>
        <v>35.3493975903614</v>
      </c>
      <c r="F13" s="0" t="s">
        <v>1280</v>
      </c>
      <c r="H13" s="115" t="n">
        <f aca="false">D13*Parameters!$C$8</f>
        <v>1.5485</v>
      </c>
      <c r="I13" s="115" t="n">
        <f aca="false">H13/'Scopes ratios details'!$F$61</f>
        <v>2.31162229770288</v>
      </c>
    </row>
    <row r="14" customFormat="false" ht="15.75" hidden="false" customHeight="false" outlineLevel="0" collapsed="false">
      <c r="B14" s="0" t="n">
        <v>1983</v>
      </c>
      <c r="C14" s="89" t="s">
        <v>1281</v>
      </c>
      <c r="D14" s="0" t="n">
        <v>3.1</v>
      </c>
      <c r="E14" s="115" t="n">
        <f aca="false">D14*Parameters!$C$7*Parameters!$C$12/'Deng data'!$I$11</f>
        <v>33.6144578313253</v>
      </c>
      <c r="F14" s="0" t="s">
        <v>1282</v>
      </c>
      <c r="H14" s="115" t="n">
        <f aca="false">D14*Parameters!$C$8</f>
        <v>1.4725</v>
      </c>
      <c r="I14" s="115" t="n">
        <f aca="false">H14/'Scopes ratios details'!$F$61</f>
        <v>2.19816844260089</v>
      </c>
    </row>
    <row r="18" customFormat="false" ht="15.75" hidden="false" customHeight="false" outlineLevel="0" collapsed="false">
      <c r="B18" s="338"/>
      <c r="C18" s="339"/>
      <c r="D18" s="339"/>
      <c r="E18" s="339"/>
      <c r="F18" s="339"/>
      <c r="G18" s="340"/>
    </row>
    <row r="19" customFormat="false" ht="15.75" hidden="false" customHeight="false" outlineLevel="0" collapsed="false">
      <c r="B19" s="339"/>
      <c r="C19" s="339"/>
      <c r="D19" s="339"/>
      <c r="E19" s="339"/>
      <c r="F19" s="339"/>
      <c r="G19" s="340"/>
    </row>
    <row r="20" customFormat="false" ht="15.75" hidden="false" customHeight="false" outlineLevel="0" collapsed="false">
      <c r="B20" s="339"/>
      <c r="C20" s="339"/>
      <c r="D20" s="339"/>
      <c r="E20" s="339"/>
      <c r="F20" s="339"/>
      <c r="G20" s="340"/>
    </row>
    <row r="21" customFormat="false" ht="15.75" hidden="false" customHeight="false" outlineLevel="0" collapsed="false">
      <c r="B21" s="339"/>
      <c r="C21" s="339"/>
      <c r="D21" s="339"/>
      <c r="E21" s="339"/>
      <c r="F21" s="339"/>
      <c r="G21" s="340"/>
    </row>
    <row r="22" customFormat="false" ht="15.75" hidden="false" customHeight="false" outlineLevel="0" collapsed="false">
      <c r="B22" s="339"/>
      <c r="C22" s="339"/>
      <c r="D22" s="339"/>
      <c r="E22" s="339"/>
      <c r="F22" s="339"/>
      <c r="G22" s="340"/>
    </row>
    <row r="23" customFormat="false" ht="15.75" hidden="false" customHeight="false" outlineLevel="0" collapsed="false">
      <c r="B23" s="339"/>
      <c r="C23" s="339"/>
      <c r="D23" s="339"/>
      <c r="E23" s="339"/>
      <c r="F23" s="339"/>
      <c r="G23" s="340"/>
    </row>
  </sheetData>
  <mergeCells count="1">
    <mergeCell ref="B5:D5"/>
  </mergeCells>
  <hyperlinks>
    <hyperlink ref="C2" r:id="rId1" display="https://doi.org/10.1016/S0360-5442(03)00008-2"/>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C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I6" activeCellId="0" sqref="I6"/>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18" min="18" style="257" width="1.26"/>
  </cols>
  <sheetData>
    <row r="2" customFormat="false" ht="15.75" hidden="false" customHeight="false" outlineLevel="0" collapsed="false">
      <c r="B2" s="92" t="s">
        <v>508</v>
      </c>
      <c r="C2" s="220" t="s">
        <v>1284</v>
      </c>
    </row>
    <row r="4" customFormat="false" ht="15.75" hidden="false" customHeight="false" outlineLevel="0" collapsed="false">
      <c r="B4" s="108" t="s">
        <v>1285</v>
      </c>
    </row>
  </sheetData>
  <hyperlinks>
    <hyperlink ref="C2" r:id="rId1" display="https://doi.org/10.1007/s13762-015-0869-z"/>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J1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W127" activeCellId="0" sqref="W127"/>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2" min="2" style="0" width="41.5"/>
    <col collapsed="false" customWidth="true" hidden="false" outlineLevel="0" max="10" min="9" style="0" width="20.63"/>
    <col collapsed="false" customWidth="true" hidden="false" outlineLevel="0" max="14" min="14" style="257" width="1.26"/>
  </cols>
  <sheetData>
    <row r="2" customFormat="false" ht="15.75" hidden="false" customHeight="false" outlineLevel="0" collapsed="false">
      <c r="B2" s="92" t="s">
        <v>508</v>
      </c>
      <c r="C2" s="220" t="s">
        <v>248</v>
      </c>
    </row>
    <row r="4" customFormat="false" ht="47.25" hidden="false" customHeight="false" outlineLevel="0" collapsed="false">
      <c r="B4" s="259" t="s">
        <v>556</v>
      </c>
      <c r="C4" s="259"/>
      <c r="D4" s="259"/>
      <c r="I4" s="271" t="s">
        <v>1056</v>
      </c>
      <c r="J4" s="271" t="s">
        <v>1057</v>
      </c>
    </row>
    <row r="5" customFormat="false" ht="15.75" hidden="false" customHeight="false" outlineLevel="0" collapsed="false">
      <c r="B5" s="89" t="s">
        <v>992</v>
      </c>
      <c r="C5" s="0" t="n">
        <v>0.13</v>
      </c>
      <c r="D5" s="252" t="s">
        <v>1286</v>
      </c>
    </row>
    <row r="6" customFormat="false" ht="15.75" hidden="false" customHeight="false" outlineLevel="0" collapsed="false">
      <c r="B6" s="262" t="s">
        <v>1287</v>
      </c>
      <c r="C6" s="29" t="n">
        <v>336</v>
      </c>
      <c r="D6" s="264" t="s">
        <v>1288</v>
      </c>
      <c r="E6" s="0" t="n">
        <f aca="false">C6*Parameters!$C$7*Parameters!$C$12/'Deng data'!$I$11</f>
        <v>3643.3734939759</v>
      </c>
      <c r="F6" s="0" t="s">
        <v>537</v>
      </c>
    </row>
    <row r="7" customFormat="false" ht="15.75" hidden="false" customHeight="false" outlineLevel="0" collapsed="false">
      <c r="B7" s="262" t="s">
        <v>1289</v>
      </c>
      <c r="C7" s="29" t="n">
        <v>406</v>
      </c>
      <c r="D7" s="264" t="s">
        <v>1288</v>
      </c>
      <c r="E7" s="0" t="n">
        <f aca="false">C7*Parameters!$C$7*Parameters!$C$12/'Deng data'!$I$11</f>
        <v>4402.40963855422</v>
      </c>
      <c r="F7" s="0" t="s">
        <v>537</v>
      </c>
    </row>
    <row r="8" customFormat="false" ht="15.75" hidden="false" customHeight="false" outlineLevel="0" collapsed="false">
      <c r="B8" s="341" t="s">
        <v>1262</v>
      </c>
      <c r="C8" s="342" t="n">
        <f aca="false">3.14*(200/2)*(200/2)/100</f>
        <v>314</v>
      </c>
      <c r="D8" s="343" t="s">
        <v>1101</v>
      </c>
    </row>
    <row r="9" customFormat="false" ht="15.75" hidden="false" customHeight="false" outlineLevel="0" collapsed="false">
      <c r="B9" s="262" t="s">
        <v>1263</v>
      </c>
      <c r="C9" s="335" t="n">
        <v>261</v>
      </c>
      <c r="D9" s="264"/>
    </row>
    <row r="10" customFormat="false" ht="15.75" hidden="false" customHeight="false" outlineLevel="0" collapsed="false">
      <c r="B10" s="262" t="s">
        <v>1265</v>
      </c>
      <c r="C10" s="263" t="n">
        <v>1</v>
      </c>
      <c r="D10" s="264" t="s">
        <v>1266</v>
      </c>
    </row>
    <row r="11" customFormat="false" ht="15.75" hidden="false" customHeight="false" outlineLevel="0" collapsed="false">
      <c r="B11" s="262" t="s">
        <v>1290</v>
      </c>
      <c r="C11" s="263" t="n">
        <f aca="false">C9*C10</f>
        <v>261</v>
      </c>
      <c r="D11" s="264" t="s">
        <v>541</v>
      </c>
      <c r="E11" s="0" t="s">
        <v>1291</v>
      </c>
    </row>
    <row r="12" customFormat="false" ht="15.75" hidden="false" customHeight="false" outlineLevel="0" collapsed="false">
      <c r="B12" s="265" t="s">
        <v>1292</v>
      </c>
      <c r="C12" s="274" t="n">
        <f aca="false">C6/C11</f>
        <v>1.28735632183908</v>
      </c>
      <c r="D12" s="267" t="s">
        <v>1001</v>
      </c>
      <c r="E12" s="274" t="n">
        <f aca="false">E6/C11</f>
        <v>13.9592854175322</v>
      </c>
      <c r="F12" s="267" t="s">
        <v>553</v>
      </c>
      <c r="I12" s="115" t="n">
        <f aca="false">C12*Parameters!$C$8</f>
        <v>0.611494252873563</v>
      </c>
      <c r="J12" s="115" t="n">
        <f aca="false">I12/'Scopes ratios details'!$F$61</f>
        <v>0.912847110015944</v>
      </c>
    </row>
    <row r="13" customFormat="false" ht="15.75" hidden="false" customHeight="false" outlineLevel="0" collapsed="false">
      <c r="B13" s="265" t="s">
        <v>1293</v>
      </c>
      <c r="C13" s="274" t="n">
        <f aca="false">C7/C11</f>
        <v>1.55555555555556</v>
      </c>
      <c r="D13" s="267" t="s">
        <v>1001</v>
      </c>
      <c r="E13" s="274" t="n">
        <f aca="false">E7/C11</f>
        <v>16.8674698795181</v>
      </c>
      <c r="F13" s="267" t="s">
        <v>553</v>
      </c>
      <c r="I13" s="115" t="n">
        <f aca="false">C13*Parameters!$C$8</f>
        <v>0.738888888888889</v>
      </c>
      <c r="J13" s="115" t="n">
        <f aca="false">I13/'Scopes ratios details'!$F$61</f>
        <v>1.10302359126927</v>
      </c>
    </row>
  </sheetData>
  <mergeCells count="1">
    <mergeCell ref="B4:D4"/>
  </mergeCells>
  <hyperlinks>
    <hyperlink ref="C2" r:id="rId1" display="https://doi.org/10.1021/es034434g"/>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000000"/>
    <pageSetUpPr fitToPage="false"/>
  </sheetPr>
  <dimension ref="A1:AI261"/>
  <sheetViews>
    <sheetView showFormulas="false" showGridLines="true" showRowColHeaders="true" showZeros="true" rightToLeft="false" tabSelected="false" showOutlineSymbols="true" defaultGridColor="true" view="normal" topLeftCell="A1" colorId="64" zoomScale="50" zoomScaleNormal="50" zoomScalePageLayoutView="100" workbookViewId="0">
      <pane xSplit="0" ySplit="5" topLeftCell="A235" activePane="bottomLeft" state="frozen"/>
      <selection pane="topLeft" activeCell="A1" activeCellId="0" sqref="A1"/>
      <selection pane="bottomLeft" activeCell="V249" activeCellId="0" sqref="V249"/>
    </sheetView>
  </sheetViews>
  <sheetFormatPr defaultColWidth="8.5" defaultRowHeight="15.75" zeroHeight="false" outlineLevelRow="0" outlineLevelCol="0"/>
  <cols>
    <col collapsed="false" customWidth="true" hidden="false" outlineLevel="0" max="2" min="2" style="0" width="54"/>
    <col collapsed="false" customWidth="true" hidden="false" outlineLevel="0" max="21" min="3" style="0" width="14.63"/>
    <col collapsed="false" customWidth="true" hidden="false" outlineLevel="0" max="22" min="22" style="0" width="67.13"/>
    <col collapsed="false" customWidth="true" hidden="false" outlineLevel="0" max="23" min="23" style="20" width="14.63"/>
    <col collapsed="false" customWidth="true" hidden="false" outlineLevel="0" max="26" min="24" style="0" width="9.13"/>
    <col collapsed="false" customWidth="true" hidden="false" outlineLevel="0" max="31" min="28" style="0" width="9.13"/>
    <col collapsed="false" customWidth="true" hidden="false" outlineLevel="0" max="32" min="32" style="0" width="11.13"/>
  </cols>
  <sheetData>
    <row r="1" s="21" customFormat="true" ht="15.75" hidden="false" customHeight="false" outlineLevel="0" collapsed="false">
      <c r="W1" s="22"/>
    </row>
    <row r="2" s="2" customFormat="true" ht="36.75" hidden="false" customHeight="true" outlineLevel="0" collapsed="false">
      <c r="B2" s="7" t="s">
        <v>354</v>
      </c>
      <c r="C2" s="7"/>
      <c r="D2" s="7"/>
      <c r="E2" s="7"/>
      <c r="F2" s="7"/>
      <c r="G2" s="7"/>
      <c r="H2" s="7"/>
      <c r="I2" s="7"/>
      <c r="J2" s="7"/>
      <c r="K2" s="7"/>
      <c r="L2" s="7"/>
      <c r="M2" s="7"/>
      <c r="N2" s="7"/>
      <c r="O2" s="7"/>
      <c r="P2" s="7"/>
      <c r="Q2" s="7"/>
      <c r="R2" s="7"/>
      <c r="S2" s="7"/>
      <c r="T2" s="7"/>
      <c r="U2" s="7"/>
      <c r="V2" s="7"/>
      <c r="W2" s="7"/>
      <c r="X2" s="8"/>
      <c r="Y2" s="8"/>
      <c r="Z2" s="8"/>
      <c r="AA2" s="8"/>
      <c r="AB2" s="8"/>
      <c r="AC2" s="8"/>
      <c r="AD2" s="8"/>
      <c r="AE2" s="8"/>
      <c r="AF2" s="8"/>
      <c r="AG2" s="8"/>
      <c r="AH2" s="8"/>
      <c r="AI2" s="8"/>
    </row>
    <row r="3" s="1" customFormat="true" ht="15.75" hidden="false" customHeight="false" outlineLevel="0" collapsed="false">
      <c r="A3" s="2"/>
      <c r="B3" s="5"/>
      <c r="C3" s="5"/>
      <c r="D3" s="5"/>
      <c r="E3" s="5"/>
      <c r="F3" s="5"/>
      <c r="G3" s="5"/>
      <c r="H3" s="5"/>
      <c r="I3" s="5"/>
      <c r="J3" s="5"/>
      <c r="K3" s="5"/>
      <c r="L3" s="5"/>
      <c r="M3" s="5"/>
      <c r="N3" s="5"/>
      <c r="O3" s="5"/>
      <c r="P3" s="5"/>
      <c r="Q3" s="5"/>
      <c r="R3" s="5"/>
      <c r="S3" s="5"/>
      <c r="T3" s="5"/>
      <c r="U3" s="5"/>
      <c r="V3" s="9"/>
      <c r="W3" s="5"/>
      <c r="X3" s="60"/>
    </row>
    <row r="4" s="2" customFormat="true" ht="35.25" hidden="false" customHeight="true" outlineLevel="0" collapsed="false">
      <c r="B4" s="10" t="s">
        <v>1</v>
      </c>
      <c r="C4" s="10" t="s">
        <v>2</v>
      </c>
      <c r="D4" s="10" t="s">
        <v>3</v>
      </c>
      <c r="E4" s="10" t="s">
        <v>4</v>
      </c>
      <c r="F4" s="10" t="s">
        <v>5</v>
      </c>
      <c r="G4" s="10" t="s">
        <v>6</v>
      </c>
      <c r="H4" s="10"/>
      <c r="I4" s="10"/>
      <c r="J4" s="10"/>
      <c r="K4" s="10"/>
      <c r="L4" s="10"/>
      <c r="M4" s="10"/>
      <c r="N4" s="10"/>
      <c r="O4" s="10"/>
      <c r="P4" s="10"/>
      <c r="Q4" s="10"/>
      <c r="R4" s="10"/>
      <c r="S4" s="10"/>
      <c r="T4" s="10"/>
      <c r="U4" s="10"/>
      <c r="V4" s="11" t="s">
        <v>7</v>
      </c>
      <c r="W4" s="23" t="s">
        <v>68</v>
      </c>
      <c r="Z4" s="1"/>
      <c r="AA4" s="1"/>
      <c r="AB4" s="1"/>
      <c r="AC4" s="1"/>
    </row>
    <row r="5" s="2" customFormat="true" ht="70.5" hidden="false" customHeight="true" outlineLevel="0" collapsed="false">
      <c r="B5" s="12"/>
      <c r="C5" s="12"/>
      <c r="D5" s="12"/>
      <c r="E5" s="12"/>
      <c r="F5" s="13" t="s">
        <v>8</v>
      </c>
      <c r="G5" s="13" t="s">
        <v>9</v>
      </c>
      <c r="H5" s="13" t="s">
        <v>10</v>
      </c>
      <c r="I5" s="13" t="s">
        <v>11</v>
      </c>
      <c r="J5" s="13" t="s">
        <v>12</v>
      </c>
      <c r="K5" s="13" t="s">
        <v>13</v>
      </c>
      <c r="L5" s="13" t="s">
        <v>14</v>
      </c>
      <c r="M5" s="13" t="s">
        <v>15</v>
      </c>
      <c r="N5" s="13" t="s">
        <v>16</v>
      </c>
      <c r="O5" s="13" t="s">
        <v>17</v>
      </c>
      <c r="P5" s="13" t="s">
        <v>18</v>
      </c>
      <c r="Q5" s="13" t="s">
        <v>19</v>
      </c>
      <c r="R5" s="13" t="s">
        <v>20</v>
      </c>
      <c r="S5" s="13" t="s">
        <v>21</v>
      </c>
      <c r="T5" s="13" t="s">
        <v>22</v>
      </c>
      <c r="U5" s="13" t="s">
        <v>23</v>
      </c>
      <c r="V5" s="14"/>
      <c r="W5" s="5"/>
      <c r="X5" s="1"/>
      <c r="Y5" s="1"/>
      <c r="Z5" s="1"/>
      <c r="AA5" s="1"/>
      <c r="AB5" s="1"/>
      <c r="AC5" s="1"/>
    </row>
    <row r="6" s="24" customFormat="true" ht="15.75" hidden="false" customHeight="false" outlineLevel="0" collapsed="false">
      <c r="W6" s="25"/>
    </row>
    <row r="7" s="30" customFormat="true" ht="157.5" hidden="false" customHeight="false" outlineLevel="0" collapsed="false">
      <c r="A7" s="2"/>
      <c r="B7" s="26" t="s">
        <v>70</v>
      </c>
      <c r="C7" s="27" t="s">
        <v>71</v>
      </c>
      <c r="D7" s="3" t="n">
        <v>2016</v>
      </c>
      <c r="E7" s="20" t="s">
        <v>72</v>
      </c>
      <c r="F7" s="27" t="s">
        <v>45</v>
      </c>
      <c r="G7" s="3" t="s">
        <v>46</v>
      </c>
      <c r="H7" s="3" t="s">
        <v>73</v>
      </c>
      <c r="I7" s="3" t="s">
        <v>73</v>
      </c>
      <c r="J7" s="3" t="n">
        <v>32</v>
      </c>
      <c r="K7" s="3" t="n">
        <v>300</v>
      </c>
      <c r="L7" s="3" t="s">
        <v>74</v>
      </c>
      <c r="M7" s="3" t="s">
        <v>47</v>
      </c>
      <c r="N7" s="3" t="s">
        <v>75</v>
      </c>
      <c r="O7" s="3" t="s">
        <v>76</v>
      </c>
      <c r="P7" s="3" t="s">
        <v>49</v>
      </c>
      <c r="Q7" s="3" t="s">
        <v>75</v>
      </c>
      <c r="R7" s="3" t="s">
        <v>77</v>
      </c>
      <c r="S7" s="3" t="s">
        <v>78</v>
      </c>
      <c r="T7" s="3" t="s">
        <v>47</v>
      </c>
      <c r="U7" s="3" t="s">
        <v>47</v>
      </c>
      <c r="V7" s="36" t="s">
        <v>355</v>
      </c>
      <c r="W7" s="49" t="n">
        <f aca="false">'Proske data'!H8</f>
        <v>94.9</v>
      </c>
      <c r="X7" s="29"/>
      <c r="Y7" s="29"/>
      <c r="Z7" s="2"/>
      <c r="AA7" s="2"/>
      <c r="AB7" s="2"/>
      <c r="AC7" s="2"/>
      <c r="AD7" s="2"/>
      <c r="AE7" s="2"/>
      <c r="AF7" s="2"/>
      <c r="AG7" s="2"/>
    </row>
    <row r="8" s="30" customFormat="true" ht="110.25" hidden="false" customHeight="false" outlineLevel="0" collapsed="false">
      <c r="A8" s="2"/>
      <c r="B8" s="26" t="s">
        <v>80</v>
      </c>
      <c r="C8" s="27" t="s">
        <v>71</v>
      </c>
      <c r="D8" s="3" t="n">
        <v>2020</v>
      </c>
      <c r="E8" s="31" t="s">
        <v>81</v>
      </c>
      <c r="F8" s="27" t="s">
        <v>45</v>
      </c>
      <c r="G8" s="3" t="s">
        <v>46</v>
      </c>
      <c r="H8" s="3" t="s">
        <v>47</v>
      </c>
      <c r="I8" s="3" t="s">
        <v>82</v>
      </c>
      <c r="J8" s="3" t="n">
        <v>32</v>
      </c>
      <c r="K8" s="3" t="s">
        <v>83</v>
      </c>
      <c r="L8" s="3" t="s">
        <v>78</v>
      </c>
      <c r="M8" s="3" t="s">
        <v>47</v>
      </c>
      <c r="N8" s="3" t="s">
        <v>75</v>
      </c>
      <c r="O8" s="3" t="s">
        <v>76</v>
      </c>
      <c r="P8" s="3" t="s">
        <v>49</v>
      </c>
      <c r="Q8" s="3" t="s">
        <v>75</v>
      </c>
      <c r="R8" s="3" t="s">
        <v>53</v>
      </c>
      <c r="S8" s="3" t="s">
        <v>73</v>
      </c>
      <c r="T8" s="3" t="s">
        <v>47</v>
      </c>
      <c r="U8" s="3" t="s">
        <v>47</v>
      </c>
      <c r="V8" s="36" t="s">
        <v>356</v>
      </c>
      <c r="W8" s="28" t="n">
        <f aca="false">'Proske data'!R8</f>
        <v>60.3</v>
      </c>
      <c r="X8" s="29"/>
      <c r="Y8" s="29"/>
      <c r="Z8" s="2"/>
      <c r="AA8" s="2"/>
      <c r="AB8" s="2"/>
      <c r="AC8" s="2"/>
      <c r="AD8" s="2"/>
      <c r="AE8" s="2"/>
      <c r="AF8" s="2"/>
      <c r="AG8" s="2"/>
    </row>
    <row r="9" s="30" customFormat="true" ht="47.25" hidden="false" customHeight="false" outlineLevel="0" collapsed="false">
      <c r="A9" s="2"/>
      <c r="B9" s="2" t="s">
        <v>140</v>
      </c>
      <c r="C9" s="27" t="s">
        <v>141</v>
      </c>
      <c r="D9" s="32" t="n">
        <v>2020</v>
      </c>
      <c r="E9" s="20" t="s">
        <v>142</v>
      </c>
      <c r="F9" s="27" t="s">
        <v>45</v>
      </c>
      <c r="G9" s="32" t="s">
        <v>46</v>
      </c>
      <c r="H9" s="3" t="s">
        <v>78</v>
      </c>
      <c r="I9" s="32" t="s">
        <v>47</v>
      </c>
      <c r="J9" s="32" t="n">
        <v>28</v>
      </c>
      <c r="K9" s="32" t="n">
        <v>300</v>
      </c>
      <c r="L9" s="32" t="s">
        <v>53</v>
      </c>
      <c r="M9" s="32" t="s">
        <v>47</v>
      </c>
      <c r="N9" s="32" t="s">
        <v>75</v>
      </c>
      <c r="O9" s="32"/>
      <c r="P9" s="32" t="s">
        <v>89</v>
      </c>
      <c r="Q9" s="32" t="s">
        <v>50</v>
      </c>
      <c r="R9" s="32" t="s">
        <v>47</v>
      </c>
      <c r="S9" s="3" t="s">
        <v>73</v>
      </c>
      <c r="T9" s="32" t="s">
        <v>47</v>
      </c>
      <c r="U9" s="32" t="s">
        <v>47</v>
      </c>
      <c r="V9" s="4" t="s">
        <v>357</v>
      </c>
      <c r="W9" s="28" t="n">
        <f aca="false">'Bardon data'!C$14</f>
        <v>8.487</v>
      </c>
      <c r="X9" s="2"/>
      <c r="Y9" s="61"/>
      <c r="Z9" s="2"/>
      <c r="AA9" s="2"/>
      <c r="AB9" s="2"/>
      <c r="AC9" s="2"/>
      <c r="AD9" s="2"/>
      <c r="AE9" s="2"/>
      <c r="AF9" s="2"/>
      <c r="AG9" s="2"/>
    </row>
    <row r="10" s="30" customFormat="true" ht="47.25" hidden="false" customHeight="false" outlineLevel="0" collapsed="false">
      <c r="A10" s="2"/>
      <c r="B10" s="2" t="s">
        <v>140</v>
      </c>
      <c r="C10" s="27" t="s">
        <v>141</v>
      </c>
      <c r="D10" s="32" t="n">
        <v>2020</v>
      </c>
      <c r="E10" s="20" t="s">
        <v>142</v>
      </c>
      <c r="F10" s="27" t="s">
        <v>45</v>
      </c>
      <c r="G10" s="32" t="s">
        <v>46</v>
      </c>
      <c r="H10" s="3" t="s">
        <v>78</v>
      </c>
      <c r="I10" s="32" t="s">
        <v>47</v>
      </c>
      <c r="J10" s="32" t="n">
        <v>20</v>
      </c>
      <c r="K10" s="32" t="n">
        <v>300</v>
      </c>
      <c r="L10" s="32" t="s">
        <v>53</v>
      </c>
      <c r="M10" s="32" t="s">
        <v>47</v>
      </c>
      <c r="N10" s="32" t="s">
        <v>75</v>
      </c>
      <c r="O10" s="32"/>
      <c r="P10" s="32" t="s">
        <v>89</v>
      </c>
      <c r="Q10" s="32" t="s">
        <v>50</v>
      </c>
      <c r="R10" s="32" t="s">
        <v>47</v>
      </c>
      <c r="S10" s="3" t="s">
        <v>73</v>
      </c>
      <c r="T10" s="32" t="s">
        <v>47</v>
      </c>
      <c r="U10" s="32" t="s">
        <v>47</v>
      </c>
      <c r="V10" s="4" t="s">
        <v>357</v>
      </c>
      <c r="W10" s="28" t="n">
        <f aca="false">'Bardon data'!D$14</f>
        <v>10.314</v>
      </c>
      <c r="X10" s="2"/>
      <c r="Y10" s="61"/>
      <c r="Z10" s="2"/>
      <c r="AA10" s="2"/>
      <c r="AB10" s="2"/>
      <c r="AC10" s="2"/>
      <c r="AD10" s="2"/>
      <c r="AE10" s="2"/>
      <c r="AF10" s="2"/>
      <c r="AG10" s="2"/>
    </row>
    <row r="11" s="30" customFormat="true" ht="47.25" hidden="false" customHeight="false" outlineLevel="0" collapsed="false">
      <c r="A11" s="2"/>
      <c r="B11" s="2" t="s">
        <v>140</v>
      </c>
      <c r="C11" s="27" t="s">
        <v>141</v>
      </c>
      <c r="D11" s="32" t="n">
        <v>2020</v>
      </c>
      <c r="E11" s="20" t="s">
        <v>142</v>
      </c>
      <c r="F11" s="27" t="s">
        <v>45</v>
      </c>
      <c r="G11" s="32" t="s">
        <v>46</v>
      </c>
      <c r="H11" s="3" t="s">
        <v>78</v>
      </c>
      <c r="I11" s="32" t="s">
        <v>47</v>
      </c>
      <c r="J11" s="32" t="n">
        <v>14</v>
      </c>
      <c r="K11" s="32" t="n">
        <v>300</v>
      </c>
      <c r="L11" s="32" t="s">
        <v>53</v>
      </c>
      <c r="M11" s="32" t="s">
        <v>47</v>
      </c>
      <c r="N11" s="32" t="s">
        <v>75</v>
      </c>
      <c r="O11" s="32"/>
      <c r="P11" s="32" t="s">
        <v>89</v>
      </c>
      <c r="Q11" s="32" t="s">
        <v>50</v>
      </c>
      <c r="R11" s="32" t="s">
        <v>47</v>
      </c>
      <c r="S11" s="3" t="s">
        <v>73</v>
      </c>
      <c r="T11" s="32" t="s">
        <v>47</v>
      </c>
      <c r="U11" s="32" t="s">
        <v>47</v>
      </c>
      <c r="V11" s="4" t="s">
        <v>357</v>
      </c>
      <c r="W11" s="28" t="n">
        <f aca="false">'Bardon data'!E$14</f>
        <v>10.206</v>
      </c>
      <c r="X11" s="2"/>
      <c r="Y11" s="61"/>
      <c r="Z11" s="2"/>
      <c r="AA11" s="2"/>
      <c r="AB11" s="2"/>
      <c r="AC11" s="2"/>
      <c r="AD11" s="2"/>
      <c r="AE11" s="2"/>
      <c r="AF11" s="2"/>
      <c r="AG11" s="2"/>
    </row>
    <row r="12" s="30" customFormat="true" ht="47.25" hidden="false" customHeight="false" outlineLevel="0" collapsed="false">
      <c r="A12" s="2"/>
      <c r="B12" s="2" t="s">
        <v>140</v>
      </c>
      <c r="C12" s="27" t="s">
        <v>141</v>
      </c>
      <c r="D12" s="32" t="n">
        <v>2020</v>
      </c>
      <c r="E12" s="20" t="s">
        <v>142</v>
      </c>
      <c r="F12" s="27" t="s">
        <v>45</v>
      </c>
      <c r="G12" s="32" t="s">
        <v>46</v>
      </c>
      <c r="H12" s="3" t="s">
        <v>78</v>
      </c>
      <c r="I12" s="32" t="s">
        <v>47</v>
      </c>
      <c r="J12" s="32" t="n">
        <v>10</v>
      </c>
      <c r="K12" s="32" t="n">
        <v>300</v>
      </c>
      <c r="L12" s="32" t="s">
        <v>53</v>
      </c>
      <c r="M12" s="32" t="s">
        <v>47</v>
      </c>
      <c r="N12" s="32" t="s">
        <v>75</v>
      </c>
      <c r="O12" s="32"/>
      <c r="P12" s="32" t="s">
        <v>89</v>
      </c>
      <c r="Q12" s="32" t="s">
        <v>50</v>
      </c>
      <c r="R12" s="32" t="s">
        <v>47</v>
      </c>
      <c r="S12" s="3" t="s">
        <v>73</v>
      </c>
      <c r="T12" s="32" t="s">
        <v>47</v>
      </c>
      <c r="U12" s="32" t="s">
        <v>47</v>
      </c>
      <c r="V12" s="4" t="s">
        <v>357</v>
      </c>
      <c r="W12" s="28" t="n">
        <f aca="false">'Bardon data'!F$14</f>
        <v>13.185</v>
      </c>
      <c r="X12" s="2"/>
      <c r="Y12" s="61"/>
      <c r="Z12" s="2"/>
      <c r="AA12" s="2"/>
      <c r="AB12" s="2"/>
      <c r="AC12" s="2"/>
      <c r="AD12" s="2"/>
      <c r="AE12" s="2"/>
      <c r="AF12" s="2"/>
      <c r="AG12" s="2"/>
    </row>
    <row r="13" s="30" customFormat="true" ht="63" hidden="false" customHeight="false" outlineLevel="0" collapsed="false">
      <c r="A13" s="2"/>
      <c r="B13" s="2" t="s">
        <v>140</v>
      </c>
      <c r="C13" s="27" t="s">
        <v>141</v>
      </c>
      <c r="D13" s="32" t="n">
        <v>2020</v>
      </c>
      <c r="E13" s="20" t="s">
        <v>142</v>
      </c>
      <c r="F13" s="27" t="s">
        <v>45</v>
      </c>
      <c r="G13" s="32" t="s">
        <v>46</v>
      </c>
      <c r="H13" s="3" t="s">
        <v>74</v>
      </c>
      <c r="I13" s="32" t="s">
        <v>47</v>
      </c>
      <c r="J13" s="32" t="n">
        <v>8</v>
      </c>
      <c r="K13" s="32" t="n">
        <v>300</v>
      </c>
      <c r="L13" s="32" t="s">
        <v>53</v>
      </c>
      <c r="M13" s="32" t="s">
        <v>47</v>
      </c>
      <c r="N13" s="32" t="s">
        <v>75</v>
      </c>
      <c r="O13" s="32"/>
      <c r="P13" s="32" t="s">
        <v>89</v>
      </c>
      <c r="Q13" s="32" t="s">
        <v>50</v>
      </c>
      <c r="R13" s="32" t="s">
        <v>47</v>
      </c>
      <c r="S13" s="3" t="s">
        <v>73</v>
      </c>
      <c r="T13" s="32" t="s">
        <v>47</v>
      </c>
      <c r="U13" s="32" t="s">
        <v>47</v>
      </c>
      <c r="V13" s="4" t="s">
        <v>358</v>
      </c>
      <c r="W13" s="28" t="n">
        <f aca="false">'Bardon data'!G$14</f>
        <v>14.751</v>
      </c>
      <c r="X13" s="2"/>
      <c r="Y13" s="61"/>
      <c r="Z13" s="2"/>
      <c r="AA13" s="2"/>
      <c r="AB13" s="2"/>
      <c r="AC13" s="2"/>
      <c r="AD13" s="2"/>
      <c r="AE13" s="2"/>
      <c r="AF13" s="2"/>
      <c r="AG13" s="2"/>
    </row>
    <row r="14" s="30" customFormat="true" ht="63" hidden="false" customHeight="false" outlineLevel="0" collapsed="false">
      <c r="A14" s="2"/>
      <c r="B14" s="2" t="s">
        <v>140</v>
      </c>
      <c r="C14" s="27" t="s">
        <v>141</v>
      </c>
      <c r="D14" s="32" t="n">
        <v>2020</v>
      </c>
      <c r="E14" s="20" t="s">
        <v>142</v>
      </c>
      <c r="F14" s="27" t="s">
        <v>45</v>
      </c>
      <c r="G14" s="32" t="s">
        <v>46</v>
      </c>
      <c r="H14" s="3" t="s">
        <v>74</v>
      </c>
      <c r="I14" s="32" t="s">
        <v>47</v>
      </c>
      <c r="J14" s="32" t="n">
        <v>7</v>
      </c>
      <c r="K14" s="32" t="n">
        <v>300</v>
      </c>
      <c r="L14" s="32" t="s">
        <v>53</v>
      </c>
      <c r="M14" s="32" t="s">
        <v>47</v>
      </c>
      <c r="N14" s="32" t="s">
        <v>75</v>
      </c>
      <c r="O14" s="32"/>
      <c r="P14" s="32" t="s">
        <v>89</v>
      </c>
      <c r="Q14" s="32" t="s">
        <v>50</v>
      </c>
      <c r="R14" s="32" t="s">
        <v>47</v>
      </c>
      <c r="S14" s="3" t="s">
        <v>73</v>
      </c>
      <c r="T14" s="32" t="s">
        <v>47</v>
      </c>
      <c r="U14" s="32" t="s">
        <v>47</v>
      </c>
      <c r="V14" s="4" t="s">
        <v>358</v>
      </c>
      <c r="W14" s="28" t="n">
        <f aca="false">'Bardon data'!H$14</f>
        <v>18.882</v>
      </c>
      <c r="X14" s="2"/>
      <c r="Y14" s="61"/>
      <c r="Z14" s="2"/>
      <c r="AA14" s="2"/>
      <c r="AB14" s="2"/>
      <c r="AC14" s="2"/>
      <c r="AD14" s="2"/>
      <c r="AE14" s="2"/>
      <c r="AF14" s="2"/>
      <c r="AG14" s="2"/>
    </row>
    <row r="15" s="30" customFormat="true" ht="47.25" hidden="false" customHeight="false" outlineLevel="0" collapsed="false">
      <c r="A15" s="2"/>
      <c r="B15" s="2" t="s">
        <v>140</v>
      </c>
      <c r="C15" s="27" t="s">
        <v>141</v>
      </c>
      <c r="D15" s="32" t="n">
        <v>2020</v>
      </c>
      <c r="E15" s="20" t="s">
        <v>142</v>
      </c>
      <c r="F15" s="27" t="s">
        <v>45</v>
      </c>
      <c r="G15" s="32" t="s">
        <v>46</v>
      </c>
      <c r="H15" s="3" t="s">
        <v>78</v>
      </c>
      <c r="I15" s="32" t="s">
        <v>47</v>
      </c>
      <c r="J15" s="32" t="n">
        <v>6</v>
      </c>
      <c r="K15" s="32" t="n">
        <v>300</v>
      </c>
      <c r="L15" s="32" t="s">
        <v>53</v>
      </c>
      <c r="M15" s="32" t="s">
        <v>47</v>
      </c>
      <c r="N15" s="32" t="s">
        <v>75</v>
      </c>
      <c r="O15" s="32"/>
      <c r="P15" s="32" t="s">
        <v>89</v>
      </c>
      <c r="Q15" s="32" t="s">
        <v>50</v>
      </c>
      <c r="R15" s="32" t="s">
        <v>47</v>
      </c>
      <c r="S15" s="3" t="s">
        <v>73</v>
      </c>
      <c r="T15" s="32" t="s">
        <v>47</v>
      </c>
      <c r="U15" s="32" t="s">
        <v>47</v>
      </c>
      <c r="V15" s="4" t="s">
        <v>357</v>
      </c>
      <c r="W15" s="28" t="n">
        <f aca="false">'Bardon data'!I$14</f>
        <v>24.903</v>
      </c>
      <c r="X15" s="2"/>
      <c r="Y15" s="61"/>
      <c r="Z15" s="2"/>
      <c r="AA15" s="2"/>
      <c r="AB15" s="2"/>
      <c r="AC15" s="2"/>
      <c r="AD15" s="2"/>
      <c r="AE15" s="2"/>
      <c r="AF15" s="2"/>
      <c r="AG15" s="2"/>
    </row>
    <row r="16" s="30" customFormat="true" ht="47.25" hidden="false" customHeight="false" outlineLevel="0" collapsed="false">
      <c r="A16" s="2"/>
      <c r="B16" s="2" t="s">
        <v>140</v>
      </c>
      <c r="C16" s="27" t="s">
        <v>141</v>
      </c>
      <c r="D16" s="32" t="n">
        <v>2020</v>
      </c>
      <c r="E16" s="20" t="s">
        <v>142</v>
      </c>
      <c r="F16" s="27" t="s">
        <v>45</v>
      </c>
      <c r="G16" s="32" t="s">
        <v>46</v>
      </c>
      <c r="H16" s="3" t="s">
        <v>78</v>
      </c>
      <c r="I16" s="32" t="s">
        <v>47</v>
      </c>
      <c r="J16" s="32" t="n">
        <v>5</v>
      </c>
      <c r="K16" s="32" t="n">
        <v>300</v>
      </c>
      <c r="L16" s="32" t="s">
        <v>53</v>
      </c>
      <c r="M16" s="32" t="s">
        <v>47</v>
      </c>
      <c r="N16" s="32" t="s">
        <v>75</v>
      </c>
      <c r="O16" s="32"/>
      <c r="P16" s="32" t="s">
        <v>89</v>
      </c>
      <c r="Q16" s="32" t="s">
        <v>50</v>
      </c>
      <c r="R16" s="32" t="s">
        <v>47</v>
      </c>
      <c r="S16" s="3" t="s">
        <v>73</v>
      </c>
      <c r="T16" s="32" t="s">
        <v>47</v>
      </c>
      <c r="U16" s="32" t="s">
        <v>47</v>
      </c>
      <c r="V16" s="4" t="s">
        <v>357</v>
      </c>
      <c r="W16" s="28" t="n">
        <f aca="false">'Bardon data'!J$14</f>
        <v>25.839</v>
      </c>
      <c r="X16" s="2"/>
      <c r="Y16" s="61"/>
      <c r="Z16" s="2"/>
      <c r="AA16" s="2"/>
      <c r="AB16" s="2"/>
      <c r="AC16" s="2"/>
      <c r="AD16" s="2"/>
      <c r="AE16" s="2"/>
      <c r="AF16" s="2"/>
      <c r="AG16" s="2"/>
    </row>
    <row r="17" s="30" customFormat="true" ht="47.25" hidden="false" customHeight="false" outlineLevel="0" collapsed="false">
      <c r="A17" s="2"/>
      <c r="B17" s="2" t="s">
        <v>140</v>
      </c>
      <c r="C17" s="27" t="s">
        <v>141</v>
      </c>
      <c r="D17" s="32" t="n">
        <v>2020</v>
      </c>
      <c r="E17" s="20" t="s">
        <v>142</v>
      </c>
      <c r="F17" s="27" t="s">
        <v>45</v>
      </c>
      <c r="G17" s="32" t="s">
        <v>46</v>
      </c>
      <c r="H17" s="3" t="s">
        <v>78</v>
      </c>
      <c r="I17" s="32" t="s">
        <v>47</v>
      </c>
      <c r="J17" s="32" t="n">
        <v>3</v>
      </c>
      <c r="K17" s="32" t="n">
        <v>300</v>
      </c>
      <c r="L17" s="32" t="s">
        <v>53</v>
      </c>
      <c r="M17" s="32" t="s">
        <v>47</v>
      </c>
      <c r="N17" s="32" t="s">
        <v>75</v>
      </c>
      <c r="O17" s="32"/>
      <c r="P17" s="32" t="s">
        <v>89</v>
      </c>
      <c r="Q17" s="32" t="s">
        <v>50</v>
      </c>
      <c r="R17" s="32" t="s">
        <v>47</v>
      </c>
      <c r="S17" s="3" t="s">
        <v>73</v>
      </c>
      <c r="T17" s="32" t="s">
        <v>47</v>
      </c>
      <c r="U17" s="32" t="s">
        <v>47</v>
      </c>
      <c r="V17" s="4" t="s">
        <v>357</v>
      </c>
      <c r="W17" s="28" t="n">
        <f aca="false">'Bardon data'!K$14</f>
        <v>29.457</v>
      </c>
      <c r="X17" s="2"/>
      <c r="Y17" s="61"/>
      <c r="Z17" s="2"/>
      <c r="AA17" s="2"/>
      <c r="AB17" s="2"/>
      <c r="AC17" s="2"/>
      <c r="AD17" s="2"/>
      <c r="AE17" s="2"/>
      <c r="AF17" s="2"/>
      <c r="AG17" s="2"/>
    </row>
    <row r="18" s="30" customFormat="true" ht="126" hidden="false" customHeight="false" outlineLevel="0" collapsed="false">
      <c r="A18" s="2"/>
      <c r="B18" s="2" t="s">
        <v>85</v>
      </c>
      <c r="C18" s="32" t="s">
        <v>86</v>
      </c>
      <c r="D18" s="3" t="n">
        <v>2012</v>
      </c>
      <c r="E18" s="20" t="s">
        <v>87</v>
      </c>
      <c r="F18" s="27" t="s">
        <v>45</v>
      </c>
      <c r="G18" s="3" t="s">
        <v>46</v>
      </c>
      <c r="H18" s="3" t="s">
        <v>47</v>
      </c>
      <c r="I18" s="32" t="s">
        <v>82</v>
      </c>
      <c r="J18" s="3" t="n">
        <v>350</v>
      </c>
      <c r="K18" s="3" t="n">
        <v>200</v>
      </c>
      <c r="L18" s="3" t="s">
        <v>47</v>
      </c>
      <c r="M18" s="3" t="s">
        <v>47</v>
      </c>
      <c r="N18" s="3" t="s">
        <v>47</v>
      </c>
      <c r="O18" s="3"/>
      <c r="P18" s="3" t="s">
        <v>89</v>
      </c>
      <c r="Q18" s="3" t="s">
        <v>61</v>
      </c>
      <c r="R18" s="3" t="s">
        <v>47</v>
      </c>
      <c r="S18" s="32" t="s">
        <v>90</v>
      </c>
      <c r="T18" s="3" t="s">
        <v>47</v>
      </c>
      <c r="U18" s="3" t="s">
        <v>78</v>
      </c>
      <c r="V18" s="4" t="s">
        <v>359</v>
      </c>
      <c r="W18" s="33" t="n">
        <f aca="false">'Boyd data'!C33</f>
        <v>67.8571428571429</v>
      </c>
      <c r="X18" s="2"/>
      <c r="Y18" s="2"/>
      <c r="Z18" s="2"/>
      <c r="AA18" s="2"/>
      <c r="AB18" s="2"/>
      <c r="AC18" s="2"/>
      <c r="AD18" s="2"/>
      <c r="AE18" s="2"/>
      <c r="AF18" s="2"/>
      <c r="AG18" s="2"/>
    </row>
    <row r="19" s="30" customFormat="true" ht="94.5" hidden="false" customHeight="false" outlineLevel="0" collapsed="false">
      <c r="A19" s="2"/>
      <c r="B19" s="2" t="s">
        <v>85</v>
      </c>
      <c r="C19" s="32" t="s">
        <v>86</v>
      </c>
      <c r="D19" s="3" t="n">
        <v>2012</v>
      </c>
      <c r="E19" s="20" t="s">
        <v>92</v>
      </c>
      <c r="F19" s="27" t="s">
        <v>45</v>
      </c>
      <c r="G19" s="3" t="s">
        <v>46</v>
      </c>
      <c r="H19" s="3" t="s">
        <v>47</v>
      </c>
      <c r="I19" s="32" t="s">
        <v>82</v>
      </c>
      <c r="J19" s="3" t="n">
        <v>250</v>
      </c>
      <c r="K19" s="3" t="n">
        <v>200</v>
      </c>
      <c r="L19" s="32" t="s">
        <v>47</v>
      </c>
      <c r="M19" s="32" t="s">
        <v>47</v>
      </c>
      <c r="N19" s="32" t="s">
        <v>47</v>
      </c>
      <c r="O19" s="3"/>
      <c r="P19" s="3" t="s">
        <v>89</v>
      </c>
      <c r="Q19" s="3" t="s">
        <v>61</v>
      </c>
      <c r="R19" s="32" t="s">
        <v>47</v>
      </c>
      <c r="S19" s="32" t="s">
        <v>90</v>
      </c>
      <c r="T19" s="3" t="s">
        <v>47</v>
      </c>
      <c r="U19" s="3" t="s">
        <v>78</v>
      </c>
      <c r="V19" s="4" t="s">
        <v>360</v>
      </c>
      <c r="W19" s="33" t="n">
        <f aca="false">'Boyd data'!D33</f>
        <v>52</v>
      </c>
      <c r="X19" s="2"/>
      <c r="Y19" s="2"/>
      <c r="Z19" s="2"/>
      <c r="AA19" s="2"/>
      <c r="AB19" s="2"/>
      <c r="AC19" s="2"/>
      <c r="AD19" s="2"/>
      <c r="AE19" s="2"/>
      <c r="AF19" s="2"/>
      <c r="AG19" s="2"/>
    </row>
    <row r="20" s="30" customFormat="true" ht="94.5" hidden="false" customHeight="false" outlineLevel="0" collapsed="false">
      <c r="A20" s="2"/>
      <c r="B20" s="2" t="s">
        <v>85</v>
      </c>
      <c r="C20" s="32" t="s">
        <v>86</v>
      </c>
      <c r="D20" s="3" t="n">
        <v>2012</v>
      </c>
      <c r="E20" s="20" t="s">
        <v>93</v>
      </c>
      <c r="F20" s="27" t="s">
        <v>45</v>
      </c>
      <c r="G20" s="3" t="s">
        <v>46</v>
      </c>
      <c r="H20" s="3" t="s">
        <v>47</v>
      </c>
      <c r="I20" s="32" t="s">
        <v>82</v>
      </c>
      <c r="J20" s="3" t="n">
        <v>180</v>
      </c>
      <c r="K20" s="3" t="n">
        <v>300</v>
      </c>
      <c r="L20" s="32" t="s">
        <v>47</v>
      </c>
      <c r="M20" s="32" t="s">
        <v>47</v>
      </c>
      <c r="N20" s="32" t="s">
        <v>47</v>
      </c>
      <c r="O20" s="3"/>
      <c r="P20" s="3" t="s">
        <v>89</v>
      </c>
      <c r="Q20" s="3" t="s">
        <v>61</v>
      </c>
      <c r="R20" s="32" t="s">
        <v>47</v>
      </c>
      <c r="S20" s="32" t="s">
        <v>90</v>
      </c>
      <c r="T20" s="3" t="s">
        <v>47</v>
      </c>
      <c r="U20" s="3" t="s">
        <v>78</v>
      </c>
      <c r="V20" s="4" t="s">
        <v>360</v>
      </c>
      <c r="W20" s="33" t="n">
        <f aca="false">'Boyd data'!E33</f>
        <v>55.28</v>
      </c>
      <c r="X20" s="2"/>
      <c r="Y20" s="2"/>
      <c r="Z20" s="2"/>
      <c r="AA20" s="2"/>
      <c r="AB20" s="2"/>
      <c r="AC20" s="2"/>
      <c r="AD20" s="2"/>
      <c r="AE20" s="2"/>
      <c r="AF20" s="2"/>
      <c r="AG20" s="2"/>
    </row>
    <row r="21" s="30" customFormat="true" ht="94.5" hidden="false" customHeight="false" outlineLevel="0" collapsed="false">
      <c r="A21" s="2"/>
      <c r="B21" s="2" t="s">
        <v>85</v>
      </c>
      <c r="C21" s="32" t="s">
        <v>86</v>
      </c>
      <c r="D21" s="3" t="n">
        <v>2012</v>
      </c>
      <c r="E21" s="20" t="s">
        <v>94</v>
      </c>
      <c r="F21" s="27" t="s">
        <v>45</v>
      </c>
      <c r="G21" s="3" t="s">
        <v>46</v>
      </c>
      <c r="H21" s="3" t="s">
        <v>47</v>
      </c>
      <c r="I21" s="32" t="s">
        <v>82</v>
      </c>
      <c r="J21" s="3" t="n">
        <v>130</v>
      </c>
      <c r="K21" s="3" t="n">
        <v>300</v>
      </c>
      <c r="L21" s="32" t="s">
        <v>47</v>
      </c>
      <c r="M21" s="32" t="s">
        <v>47</v>
      </c>
      <c r="N21" s="32" t="s">
        <v>47</v>
      </c>
      <c r="O21" s="3"/>
      <c r="P21" s="3" t="s">
        <v>89</v>
      </c>
      <c r="Q21" s="3" t="s">
        <v>61</v>
      </c>
      <c r="R21" s="32" t="s">
        <v>47</v>
      </c>
      <c r="S21" s="32" t="s">
        <v>90</v>
      </c>
      <c r="T21" s="3" t="s">
        <v>47</v>
      </c>
      <c r="U21" s="3" t="s">
        <v>78</v>
      </c>
      <c r="V21" s="4" t="s">
        <v>360</v>
      </c>
      <c r="W21" s="33" t="n">
        <f aca="false">'Boyd data'!F33</f>
        <v>41.9285714285714</v>
      </c>
      <c r="X21" s="2"/>
      <c r="Y21" s="2"/>
      <c r="Z21" s="2"/>
      <c r="AA21" s="2"/>
      <c r="AB21" s="2"/>
      <c r="AC21" s="2"/>
      <c r="AD21" s="2"/>
      <c r="AE21" s="2"/>
      <c r="AF21" s="2"/>
      <c r="AG21" s="2"/>
    </row>
    <row r="22" s="30" customFormat="true" ht="94.5" hidden="false" customHeight="false" outlineLevel="0" collapsed="false">
      <c r="A22" s="2"/>
      <c r="B22" s="2" t="s">
        <v>85</v>
      </c>
      <c r="C22" s="32" t="s">
        <v>86</v>
      </c>
      <c r="D22" s="3" t="n">
        <v>2012</v>
      </c>
      <c r="E22" s="20" t="s">
        <v>95</v>
      </c>
      <c r="F22" s="27" t="s">
        <v>45</v>
      </c>
      <c r="G22" s="3" t="s">
        <v>46</v>
      </c>
      <c r="H22" s="3" t="s">
        <v>47</v>
      </c>
      <c r="I22" s="32" t="s">
        <v>82</v>
      </c>
      <c r="J22" s="3" t="n">
        <v>90</v>
      </c>
      <c r="K22" s="3" t="n">
        <v>300</v>
      </c>
      <c r="L22" s="32" t="s">
        <v>47</v>
      </c>
      <c r="M22" s="32" t="s">
        <v>47</v>
      </c>
      <c r="N22" s="32" t="s">
        <v>47</v>
      </c>
      <c r="O22" s="3"/>
      <c r="P22" s="3" t="s">
        <v>89</v>
      </c>
      <c r="Q22" s="3" t="s">
        <v>61</v>
      </c>
      <c r="R22" s="32" t="s">
        <v>47</v>
      </c>
      <c r="S22" s="32" t="s">
        <v>90</v>
      </c>
      <c r="T22" s="3" t="s">
        <v>47</v>
      </c>
      <c r="U22" s="3" t="s">
        <v>78</v>
      </c>
      <c r="V22" s="4" t="s">
        <v>360</v>
      </c>
      <c r="W22" s="33" t="n">
        <f aca="false">'Boyd data'!G33</f>
        <v>45.0714285714286</v>
      </c>
      <c r="X22" s="2"/>
      <c r="Y22" s="2"/>
      <c r="Z22" s="2"/>
      <c r="AA22" s="2"/>
      <c r="AB22" s="2"/>
      <c r="AC22" s="2"/>
      <c r="AD22" s="2"/>
      <c r="AE22" s="2"/>
      <c r="AF22" s="2"/>
      <c r="AG22" s="2"/>
    </row>
    <row r="23" s="30" customFormat="true" ht="94.5" hidden="false" customHeight="false" outlineLevel="0" collapsed="false">
      <c r="A23" s="2"/>
      <c r="B23" s="2" t="s">
        <v>85</v>
      </c>
      <c r="C23" s="32" t="s">
        <v>86</v>
      </c>
      <c r="D23" s="3" t="n">
        <v>2012</v>
      </c>
      <c r="E23" s="20" t="s">
        <v>96</v>
      </c>
      <c r="F23" s="27" t="s">
        <v>45</v>
      </c>
      <c r="G23" s="3" t="s">
        <v>46</v>
      </c>
      <c r="H23" s="3" t="s">
        <v>47</v>
      </c>
      <c r="I23" s="32" t="s">
        <v>82</v>
      </c>
      <c r="J23" s="3" t="n">
        <v>65</v>
      </c>
      <c r="K23" s="3" t="n">
        <v>300</v>
      </c>
      <c r="L23" s="32" t="s">
        <v>47</v>
      </c>
      <c r="M23" s="32" t="s">
        <v>47</v>
      </c>
      <c r="N23" s="32" t="s">
        <v>47</v>
      </c>
      <c r="O23" s="3"/>
      <c r="P23" s="3" t="s">
        <v>89</v>
      </c>
      <c r="Q23" s="3" t="s">
        <v>61</v>
      </c>
      <c r="R23" s="32" t="s">
        <v>47</v>
      </c>
      <c r="S23" s="32" t="s">
        <v>90</v>
      </c>
      <c r="T23" s="3" t="s">
        <v>47</v>
      </c>
      <c r="U23" s="3" t="s">
        <v>78</v>
      </c>
      <c r="V23" s="4" t="s">
        <v>360</v>
      </c>
      <c r="W23" s="33" t="n">
        <f aca="false">'Boyd data'!H33</f>
        <v>49.8571428571429</v>
      </c>
      <c r="X23" s="2"/>
      <c r="Y23" s="2"/>
      <c r="Z23" s="2"/>
      <c r="AA23" s="2"/>
      <c r="AB23" s="2"/>
      <c r="AC23" s="2"/>
      <c r="AD23" s="2"/>
      <c r="AE23" s="2"/>
      <c r="AF23" s="2"/>
      <c r="AG23" s="2"/>
    </row>
    <row r="24" s="30" customFormat="true" ht="94.5" hidden="false" customHeight="false" outlineLevel="0" collapsed="false">
      <c r="A24" s="2"/>
      <c r="B24" s="2" t="s">
        <v>85</v>
      </c>
      <c r="C24" s="32" t="s">
        <v>86</v>
      </c>
      <c r="D24" s="3" t="n">
        <v>2012</v>
      </c>
      <c r="E24" s="20" t="s">
        <v>97</v>
      </c>
      <c r="F24" s="27" t="s">
        <v>45</v>
      </c>
      <c r="G24" s="3" t="s">
        <v>46</v>
      </c>
      <c r="H24" s="3" t="s">
        <v>47</v>
      </c>
      <c r="I24" s="32" t="s">
        <v>82</v>
      </c>
      <c r="J24" s="3" t="n">
        <v>45</v>
      </c>
      <c r="K24" s="3" t="n">
        <v>300</v>
      </c>
      <c r="L24" s="32" t="s">
        <v>47</v>
      </c>
      <c r="M24" s="32" t="s">
        <v>47</v>
      </c>
      <c r="N24" s="32" t="s">
        <v>47</v>
      </c>
      <c r="O24" s="3"/>
      <c r="P24" s="3" t="s">
        <v>89</v>
      </c>
      <c r="Q24" s="3" t="s">
        <v>61</v>
      </c>
      <c r="R24" s="32" t="s">
        <v>47</v>
      </c>
      <c r="S24" s="32" t="s">
        <v>90</v>
      </c>
      <c r="T24" s="3" t="s">
        <v>47</v>
      </c>
      <c r="U24" s="3" t="s">
        <v>78</v>
      </c>
      <c r="V24" s="4" t="s">
        <v>360</v>
      </c>
      <c r="W24" s="33" t="n">
        <f aca="false">'Boyd data'!I33</f>
        <v>57.7142857142857</v>
      </c>
      <c r="X24" s="2"/>
      <c r="Y24" s="2"/>
      <c r="Z24" s="2"/>
      <c r="AA24" s="2"/>
      <c r="AB24" s="2"/>
      <c r="AC24" s="2"/>
      <c r="AD24" s="2"/>
      <c r="AE24" s="2"/>
      <c r="AF24" s="2"/>
      <c r="AG24" s="2"/>
    </row>
    <row r="25" s="30" customFormat="true" ht="94.5" hidden="false" customHeight="false" outlineLevel="0" collapsed="false">
      <c r="A25" s="2"/>
      <c r="B25" s="2" t="s">
        <v>85</v>
      </c>
      <c r="C25" s="32" t="s">
        <v>86</v>
      </c>
      <c r="D25" s="3" t="n">
        <v>2012</v>
      </c>
      <c r="E25" s="20" t="s">
        <v>98</v>
      </c>
      <c r="F25" s="27" t="s">
        <v>45</v>
      </c>
      <c r="G25" s="3" t="s">
        <v>46</v>
      </c>
      <c r="H25" s="3" t="s">
        <v>47</v>
      </c>
      <c r="I25" s="32" t="s">
        <v>82</v>
      </c>
      <c r="J25" s="3" t="n">
        <v>32</v>
      </c>
      <c r="K25" s="3" t="n">
        <v>300</v>
      </c>
      <c r="L25" s="32" t="s">
        <v>47</v>
      </c>
      <c r="M25" s="32" t="s">
        <v>47</v>
      </c>
      <c r="N25" s="32" t="s">
        <v>47</v>
      </c>
      <c r="O25" s="3"/>
      <c r="P25" s="3" t="s">
        <v>89</v>
      </c>
      <c r="Q25" s="3" t="s">
        <v>61</v>
      </c>
      <c r="R25" s="32" t="s">
        <v>47</v>
      </c>
      <c r="S25" s="32" t="s">
        <v>90</v>
      </c>
      <c r="T25" s="3" t="s">
        <v>47</v>
      </c>
      <c r="U25" s="3" t="s">
        <v>78</v>
      </c>
      <c r="V25" s="4" t="s">
        <v>360</v>
      </c>
      <c r="W25" s="33" t="n">
        <f aca="false">'Boyd data'!J33</f>
        <v>60.2857142857143</v>
      </c>
      <c r="X25" s="2"/>
      <c r="Y25" s="2"/>
      <c r="Z25" s="2"/>
      <c r="AA25" s="2"/>
      <c r="AB25" s="2"/>
      <c r="AC25" s="2"/>
      <c r="AD25" s="2"/>
      <c r="AE25" s="2"/>
      <c r="AF25" s="2"/>
      <c r="AG25" s="2"/>
    </row>
    <row r="26" s="30" customFormat="true" ht="47.25" hidden="false" customHeight="false" outlineLevel="0" collapsed="false">
      <c r="A26" s="35"/>
      <c r="B26" s="35" t="s">
        <v>116</v>
      </c>
      <c r="C26" s="32" t="s">
        <v>117</v>
      </c>
      <c r="D26" s="32" t="n">
        <v>2016</v>
      </c>
      <c r="E26" s="20" t="s">
        <v>118</v>
      </c>
      <c r="F26" s="27" t="s">
        <v>45</v>
      </c>
      <c r="G26" s="32" t="s">
        <v>46</v>
      </c>
      <c r="H26" s="32" t="s">
        <v>47</v>
      </c>
      <c r="I26" s="32" t="s">
        <v>47</v>
      </c>
      <c r="J26" s="32" t="s">
        <v>75</v>
      </c>
      <c r="K26" s="32" t="s">
        <v>75</v>
      </c>
      <c r="L26" s="32" t="s">
        <v>47</v>
      </c>
      <c r="M26" s="32" t="s">
        <v>47</v>
      </c>
      <c r="N26" s="32" t="s">
        <v>47</v>
      </c>
      <c r="O26" s="32"/>
      <c r="P26" s="32" t="s">
        <v>119</v>
      </c>
      <c r="Q26" s="32" t="s">
        <v>75</v>
      </c>
      <c r="R26" s="32" t="s">
        <v>73</v>
      </c>
      <c r="S26" s="32" t="s">
        <v>114</v>
      </c>
      <c r="T26" s="32" t="s">
        <v>53</v>
      </c>
      <c r="U26" s="32" t="s">
        <v>47</v>
      </c>
      <c r="V26" s="36" t="s">
        <v>361</v>
      </c>
      <c r="W26" s="33" t="n">
        <f aca="false">'Ercan data'!E7</f>
        <v>27</v>
      </c>
      <c r="X26" s="37"/>
      <c r="Y26" s="37"/>
      <c r="Z26" s="35"/>
      <c r="AA26" s="35"/>
      <c r="AB26" s="35"/>
      <c r="AC26" s="35"/>
      <c r="AD26" s="35"/>
      <c r="AE26" s="35"/>
      <c r="AF26" s="35"/>
      <c r="AG26" s="35"/>
    </row>
    <row r="27" s="30" customFormat="true" ht="126" hidden="false" customHeight="false" outlineLevel="0" collapsed="false">
      <c r="A27" s="35"/>
      <c r="B27" s="35" t="s">
        <v>146</v>
      </c>
      <c r="C27" s="32" t="s">
        <v>147</v>
      </c>
      <c r="D27" s="32" t="n">
        <v>2014</v>
      </c>
      <c r="E27" s="31" t="s">
        <v>148</v>
      </c>
      <c r="F27" s="27" t="s">
        <v>45</v>
      </c>
      <c r="G27" s="32" t="s">
        <v>75</v>
      </c>
      <c r="H27" s="32" t="s">
        <v>75</v>
      </c>
      <c r="I27" s="32" t="s">
        <v>82</v>
      </c>
      <c r="J27" s="32" t="s">
        <v>75</v>
      </c>
      <c r="K27" s="32" t="s">
        <v>75</v>
      </c>
      <c r="L27" s="32" t="s">
        <v>75</v>
      </c>
      <c r="M27" s="32" t="s">
        <v>75</v>
      </c>
      <c r="N27" s="32" t="s">
        <v>47</v>
      </c>
      <c r="O27" s="32" t="s">
        <v>108</v>
      </c>
      <c r="P27" s="32" t="s">
        <v>119</v>
      </c>
      <c r="Q27" s="32" t="s">
        <v>61</v>
      </c>
      <c r="R27" s="32" t="s">
        <v>53</v>
      </c>
      <c r="S27" s="32" t="s">
        <v>73</v>
      </c>
      <c r="T27" s="32" t="s">
        <v>53</v>
      </c>
      <c r="U27" s="32" t="s">
        <v>53</v>
      </c>
      <c r="V27" s="36" t="s">
        <v>149</v>
      </c>
      <c r="W27" s="33" t="n">
        <f aca="false">'Teehan data'!K23</f>
        <v>55.7175398633257</v>
      </c>
      <c r="X27" s="37"/>
      <c r="Y27" s="37"/>
      <c r="Z27" s="35"/>
      <c r="AA27" s="35"/>
      <c r="AB27" s="35"/>
      <c r="AC27" s="35"/>
      <c r="AD27" s="35"/>
      <c r="AE27" s="35"/>
      <c r="AF27" s="35"/>
      <c r="AG27" s="35"/>
    </row>
    <row r="28" s="30" customFormat="true" ht="126" hidden="false" customHeight="false" outlineLevel="0" collapsed="false">
      <c r="A28" s="35"/>
      <c r="B28" s="35" t="s">
        <v>146</v>
      </c>
      <c r="C28" s="32" t="s">
        <v>147</v>
      </c>
      <c r="D28" s="32" t="n">
        <v>2014</v>
      </c>
      <c r="E28" s="31" t="s">
        <v>148</v>
      </c>
      <c r="F28" s="27" t="s">
        <v>45</v>
      </c>
      <c r="G28" s="32" t="s">
        <v>75</v>
      </c>
      <c r="H28" s="32" t="s">
        <v>75</v>
      </c>
      <c r="I28" s="32" t="s">
        <v>82</v>
      </c>
      <c r="J28" s="32" t="s">
        <v>75</v>
      </c>
      <c r="K28" s="32" t="s">
        <v>75</v>
      </c>
      <c r="L28" s="32" t="s">
        <v>75</v>
      </c>
      <c r="M28" s="32" t="s">
        <v>75</v>
      </c>
      <c r="N28" s="32" t="s">
        <v>47</v>
      </c>
      <c r="O28" s="32" t="s">
        <v>108</v>
      </c>
      <c r="P28" s="32" t="s">
        <v>119</v>
      </c>
      <c r="Q28" s="32" t="s">
        <v>61</v>
      </c>
      <c r="R28" s="32" t="s">
        <v>53</v>
      </c>
      <c r="S28" s="32" t="s">
        <v>73</v>
      </c>
      <c r="T28" s="32" t="s">
        <v>53</v>
      </c>
      <c r="U28" s="32" t="s">
        <v>53</v>
      </c>
      <c r="V28" s="36" t="s">
        <v>149</v>
      </c>
      <c r="W28" s="33" t="n">
        <f aca="false">'Teehan data'!K24</f>
        <v>80.3030303030303</v>
      </c>
      <c r="X28" s="37"/>
      <c r="Y28" s="37"/>
      <c r="Z28" s="35"/>
      <c r="AA28" s="35"/>
      <c r="AB28" s="35"/>
      <c r="AC28" s="35"/>
      <c r="AD28" s="35"/>
      <c r="AE28" s="35"/>
      <c r="AF28" s="35"/>
      <c r="AG28" s="35"/>
    </row>
    <row r="29" s="30" customFormat="true" ht="63" hidden="false" customHeight="false" outlineLevel="0" collapsed="false">
      <c r="A29" s="35"/>
      <c r="B29" s="35" t="s">
        <v>362</v>
      </c>
      <c r="C29" s="32" t="s">
        <v>129</v>
      </c>
      <c r="D29" s="32" t="n">
        <v>2012</v>
      </c>
      <c r="E29" s="31" t="s">
        <v>130</v>
      </c>
      <c r="F29" s="27" t="s">
        <v>45</v>
      </c>
      <c r="G29" s="32" t="s">
        <v>46</v>
      </c>
      <c r="H29" s="32" t="s">
        <v>47</v>
      </c>
      <c r="I29" s="32" t="s">
        <v>75</v>
      </c>
      <c r="J29" s="32" t="n">
        <v>130</v>
      </c>
      <c r="K29" s="32" t="n">
        <v>300</v>
      </c>
      <c r="L29" s="32" t="s">
        <v>75</v>
      </c>
      <c r="M29" s="32" t="s">
        <v>75</v>
      </c>
      <c r="N29" s="32" t="s">
        <v>75</v>
      </c>
      <c r="O29" s="32" t="s">
        <v>75</v>
      </c>
      <c r="P29" s="32" t="s">
        <v>119</v>
      </c>
      <c r="Q29" s="32" t="s">
        <v>50</v>
      </c>
      <c r="R29" s="32" t="s">
        <v>53</v>
      </c>
      <c r="S29" s="32" t="s">
        <v>73</v>
      </c>
      <c r="T29" s="32" t="s">
        <v>53</v>
      </c>
      <c r="U29" s="32" t="s">
        <v>363</v>
      </c>
      <c r="V29" s="36" t="s">
        <v>364</v>
      </c>
      <c r="W29" s="33" t="n">
        <f aca="false">'Bol data'!J11</f>
        <v>19.7727272727273</v>
      </c>
      <c r="X29" s="37"/>
      <c r="Y29" s="37"/>
      <c r="Z29" s="35"/>
      <c r="AA29" s="35"/>
      <c r="AB29" s="35"/>
      <c r="AC29" s="35"/>
      <c r="AD29" s="35"/>
      <c r="AE29" s="35"/>
      <c r="AF29" s="35"/>
      <c r="AG29" s="35"/>
    </row>
    <row r="30" s="30" customFormat="true" ht="63" hidden="false" customHeight="false" outlineLevel="0" collapsed="false">
      <c r="A30" s="35"/>
      <c r="B30" s="35" t="s">
        <v>362</v>
      </c>
      <c r="C30" s="32" t="s">
        <v>129</v>
      </c>
      <c r="D30" s="32" t="n">
        <v>2012</v>
      </c>
      <c r="E30" s="31" t="s">
        <v>130</v>
      </c>
      <c r="F30" s="27" t="s">
        <v>45</v>
      </c>
      <c r="G30" s="32" t="s">
        <v>46</v>
      </c>
      <c r="H30" s="32" t="s">
        <v>47</v>
      </c>
      <c r="I30" s="32" t="s">
        <v>75</v>
      </c>
      <c r="J30" s="32" t="n">
        <v>65</v>
      </c>
      <c r="K30" s="32" t="n">
        <v>300</v>
      </c>
      <c r="L30" s="32" t="s">
        <v>75</v>
      </c>
      <c r="M30" s="32" t="s">
        <v>75</v>
      </c>
      <c r="N30" s="32" t="s">
        <v>75</v>
      </c>
      <c r="O30" s="32" t="s">
        <v>75</v>
      </c>
      <c r="P30" s="32" t="s">
        <v>119</v>
      </c>
      <c r="Q30" s="32" t="s">
        <v>50</v>
      </c>
      <c r="R30" s="32" t="s">
        <v>53</v>
      </c>
      <c r="S30" s="32" t="s">
        <v>73</v>
      </c>
      <c r="T30" s="32" t="s">
        <v>53</v>
      </c>
      <c r="U30" s="32" t="s">
        <v>363</v>
      </c>
      <c r="V30" s="36" t="s">
        <v>364</v>
      </c>
      <c r="W30" s="33" t="n">
        <f aca="false">'Bol data'!K11</f>
        <v>24.8826291079812</v>
      </c>
      <c r="X30" s="37"/>
      <c r="Y30" s="37"/>
      <c r="Z30" s="35"/>
      <c r="AA30" s="35"/>
      <c r="AB30" s="35"/>
      <c r="AC30" s="35"/>
      <c r="AD30" s="35"/>
      <c r="AE30" s="35"/>
      <c r="AF30" s="35"/>
      <c r="AG30" s="35"/>
    </row>
    <row r="31" s="30" customFormat="true" ht="63" hidden="false" customHeight="false" outlineLevel="0" collapsed="false">
      <c r="A31" s="35"/>
      <c r="B31" s="35" t="s">
        <v>362</v>
      </c>
      <c r="C31" s="32" t="s">
        <v>129</v>
      </c>
      <c r="D31" s="32" t="n">
        <v>2012</v>
      </c>
      <c r="E31" s="31" t="s">
        <v>130</v>
      </c>
      <c r="F31" s="27" t="s">
        <v>45</v>
      </c>
      <c r="G31" s="32" t="s">
        <v>46</v>
      </c>
      <c r="H31" s="32" t="s">
        <v>47</v>
      </c>
      <c r="I31" s="32" t="s">
        <v>75</v>
      </c>
      <c r="J31" s="32" t="n">
        <v>65</v>
      </c>
      <c r="K31" s="32" t="n">
        <v>300</v>
      </c>
      <c r="L31" s="32" t="s">
        <v>75</v>
      </c>
      <c r="M31" s="32" t="s">
        <v>75</v>
      </c>
      <c r="N31" s="32" t="s">
        <v>75</v>
      </c>
      <c r="O31" s="32" t="s">
        <v>75</v>
      </c>
      <c r="P31" s="32" t="s">
        <v>119</v>
      </c>
      <c r="Q31" s="32" t="s">
        <v>50</v>
      </c>
      <c r="R31" s="32" t="s">
        <v>53</v>
      </c>
      <c r="S31" s="32" t="s">
        <v>73</v>
      </c>
      <c r="T31" s="32" t="s">
        <v>53</v>
      </c>
      <c r="U31" s="32" t="s">
        <v>363</v>
      </c>
      <c r="V31" s="36" t="s">
        <v>364</v>
      </c>
      <c r="W31" s="33" t="n">
        <f aca="false">'Bol data'!L11</f>
        <v>29.5454545454545</v>
      </c>
      <c r="X31" s="37"/>
      <c r="Y31" s="37"/>
      <c r="Z31" s="35"/>
      <c r="AA31" s="35"/>
      <c r="AB31" s="35"/>
      <c r="AC31" s="35"/>
      <c r="AD31" s="35"/>
      <c r="AE31" s="35"/>
      <c r="AF31" s="35"/>
      <c r="AG31" s="35"/>
    </row>
    <row r="32" s="30" customFormat="true" ht="47.25" hidden="false" customHeight="false" outlineLevel="0" collapsed="false">
      <c r="A32" s="35"/>
      <c r="B32" s="35" t="s">
        <v>365</v>
      </c>
      <c r="C32" s="32" t="s">
        <v>129</v>
      </c>
      <c r="D32" s="32" t="n">
        <v>2011</v>
      </c>
      <c r="E32" s="31" t="s">
        <v>366</v>
      </c>
      <c r="F32" s="27" t="s">
        <v>45</v>
      </c>
      <c r="G32" s="32" t="s">
        <v>46</v>
      </c>
      <c r="H32" s="32" t="s">
        <v>47</v>
      </c>
      <c r="I32" s="32" t="s">
        <v>53</v>
      </c>
      <c r="J32" s="32" t="n">
        <f aca="false">'Bol data'!Q6</f>
        <v>32</v>
      </c>
      <c r="K32" s="32" t="s">
        <v>75</v>
      </c>
      <c r="L32" s="32" t="s">
        <v>47</v>
      </c>
      <c r="M32" s="32" t="s">
        <v>47</v>
      </c>
      <c r="N32" s="32" t="s">
        <v>47</v>
      </c>
      <c r="O32" s="32" t="s">
        <v>75</v>
      </c>
      <c r="P32" s="32" t="s">
        <v>55</v>
      </c>
      <c r="Q32" s="32" t="s">
        <v>61</v>
      </c>
      <c r="R32" s="32" t="s">
        <v>53</v>
      </c>
      <c r="S32" s="32" t="s">
        <v>104</v>
      </c>
      <c r="T32" s="32" t="s">
        <v>53</v>
      </c>
      <c r="U32" s="32" t="s">
        <v>114</v>
      </c>
      <c r="V32" s="36" t="s">
        <v>367</v>
      </c>
      <c r="W32" s="33" t="n">
        <f aca="false">'Bol data'!Q11</f>
        <v>72.025</v>
      </c>
      <c r="X32" s="62"/>
      <c r="Y32" s="37"/>
      <c r="Z32" s="35"/>
      <c r="AA32" s="35"/>
      <c r="AB32" s="35"/>
      <c r="AC32" s="35"/>
      <c r="AD32" s="35"/>
      <c r="AE32" s="35"/>
      <c r="AF32" s="35"/>
      <c r="AG32" s="35"/>
    </row>
    <row r="33" s="30" customFormat="true" ht="47.25" hidden="false" customHeight="false" outlineLevel="0" collapsed="false">
      <c r="A33" s="35"/>
      <c r="B33" s="35" t="s">
        <v>365</v>
      </c>
      <c r="C33" s="32" t="s">
        <v>129</v>
      </c>
      <c r="D33" s="32" t="n">
        <v>2011</v>
      </c>
      <c r="E33" s="31" t="s">
        <v>368</v>
      </c>
      <c r="F33" s="27" t="s">
        <v>45</v>
      </c>
      <c r="G33" s="32" t="s">
        <v>46</v>
      </c>
      <c r="H33" s="32" t="s">
        <v>47</v>
      </c>
      <c r="I33" s="32" t="s">
        <v>53</v>
      </c>
      <c r="J33" s="32" t="n">
        <f aca="false">'Bol data'!R6</f>
        <v>32</v>
      </c>
      <c r="K33" s="32" t="s">
        <v>75</v>
      </c>
      <c r="L33" s="32" t="s">
        <v>47</v>
      </c>
      <c r="M33" s="32" t="s">
        <v>47</v>
      </c>
      <c r="N33" s="32" t="s">
        <v>47</v>
      </c>
      <c r="O33" s="32" t="s">
        <v>75</v>
      </c>
      <c r="P33" s="32" t="s">
        <v>55</v>
      </c>
      <c r="Q33" s="32" t="s">
        <v>61</v>
      </c>
      <c r="R33" s="32" t="s">
        <v>53</v>
      </c>
      <c r="S33" s="32" t="s">
        <v>104</v>
      </c>
      <c r="T33" s="32" t="s">
        <v>53</v>
      </c>
      <c r="U33" s="32" t="s">
        <v>114</v>
      </c>
      <c r="V33" s="36" t="s">
        <v>367</v>
      </c>
      <c r="W33" s="33" t="n">
        <f aca="false">'Bol data'!R11</f>
        <v>27.49875</v>
      </c>
      <c r="X33" s="37"/>
      <c r="Y33" s="37"/>
      <c r="Z33" s="35"/>
      <c r="AA33" s="35"/>
      <c r="AB33" s="35"/>
      <c r="AC33" s="35"/>
      <c r="AD33" s="35"/>
      <c r="AE33" s="35"/>
      <c r="AF33" s="35"/>
      <c r="AG33" s="35"/>
    </row>
    <row r="34" s="30" customFormat="true" ht="47.25" hidden="false" customHeight="false" outlineLevel="0" collapsed="false">
      <c r="A34" s="35"/>
      <c r="B34" s="35" t="s">
        <v>365</v>
      </c>
      <c r="C34" s="32" t="s">
        <v>129</v>
      </c>
      <c r="D34" s="32" t="n">
        <v>2011</v>
      </c>
      <c r="E34" s="31" t="s">
        <v>369</v>
      </c>
      <c r="F34" s="27" t="s">
        <v>45</v>
      </c>
      <c r="G34" s="32" t="s">
        <v>46</v>
      </c>
      <c r="H34" s="32" t="s">
        <v>47</v>
      </c>
      <c r="I34" s="32" t="s">
        <v>53</v>
      </c>
      <c r="J34" s="32" t="n">
        <f aca="false">'Bol data'!S6</f>
        <v>45</v>
      </c>
      <c r="K34" s="32" t="s">
        <v>75</v>
      </c>
      <c r="L34" s="32" t="s">
        <v>47</v>
      </c>
      <c r="M34" s="32" t="s">
        <v>47</v>
      </c>
      <c r="N34" s="32" t="s">
        <v>47</v>
      </c>
      <c r="O34" s="32" t="s">
        <v>75</v>
      </c>
      <c r="P34" s="32" t="s">
        <v>55</v>
      </c>
      <c r="Q34" s="32" t="s">
        <v>61</v>
      </c>
      <c r="R34" s="32" t="s">
        <v>53</v>
      </c>
      <c r="S34" s="32" t="s">
        <v>104</v>
      </c>
      <c r="T34" s="32" t="s">
        <v>53</v>
      </c>
      <c r="U34" s="32" t="s">
        <v>114</v>
      </c>
      <c r="V34" s="36" t="s">
        <v>367</v>
      </c>
      <c r="W34" s="33" t="n">
        <f aca="false">'Bol data'!S11</f>
        <v>28.7828571428571</v>
      </c>
      <c r="X34" s="37"/>
      <c r="Y34" s="37"/>
      <c r="Z34" s="35"/>
      <c r="AA34" s="35"/>
      <c r="AB34" s="35"/>
      <c r="AC34" s="35"/>
      <c r="AD34" s="35"/>
      <c r="AE34" s="35"/>
      <c r="AF34" s="35"/>
      <c r="AG34" s="35"/>
    </row>
    <row r="35" s="30" customFormat="true" ht="47.25" hidden="false" customHeight="false" outlineLevel="0" collapsed="false">
      <c r="A35" s="35"/>
      <c r="B35" s="35" t="s">
        <v>365</v>
      </c>
      <c r="C35" s="32" t="s">
        <v>129</v>
      </c>
      <c r="D35" s="32" t="n">
        <v>2011</v>
      </c>
      <c r="E35" s="31" t="s">
        <v>370</v>
      </c>
      <c r="F35" s="27" t="s">
        <v>45</v>
      </c>
      <c r="G35" s="32" t="s">
        <v>46</v>
      </c>
      <c r="H35" s="32" t="s">
        <v>47</v>
      </c>
      <c r="I35" s="32" t="s">
        <v>53</v>
      </c>
      <c r="J35" s="32" t="n">
        <f aca="false">'Bol data'!T6</f>
        <v>45</v>
      </c>
      <c r="K35" s="32" t="s">
        <v>75</v>
      </c>
      <c r="L35" s="32" t="s">
        <v>47</v>
      </c>
      <c r="M35" s="32" t="s">
        <v>47</v>
      </c>
      <c r="N35" s="32" t="s">
        <v>47</v>
      </c>
      <c r="O35" s="32" t="s">
        <v>75</v>
      </c>
      <c r="P35" s="32" t="s">
        <v>55</v>
      </c>
      <c r="Q35" s="32" t="s">
        <v>61</v>
      </c>
      <c r="R35" s="32" t="s">
        <v>53</v>
      </c>
      <c r="S35" s="32" t="s">
        <v>104</v>
      </c>
      <c r="T35" s="32" t="s">
        <v>53</v>
      </c>
      <c r="U35" s="32" t="s">
        <v>114</v>
      </c>
      <c r="V35" s="36" t="s">
        <v>367</v>
      </c>
      <c r="W35" s="33" t="n">
        <f aca="false">'Bol data'!T11</f>
        <v>25.824</v>
      </c>
      <c r="X35" s="37"/>
      <c r="Y35" s="37"/>
      <c r="Z35" s="35"/>
      <c r="AA35" s="35"/>
      <c r="AB35" s="35"/>
      <c r="AC35" s="35"/>
      <c r="AD35" s="35"/>
      <c r="AE35" s="35"/>
      <c r="AF35" s="35"/>
      <c r="AG35" s="35"/>
    </row>
    <row r="36" s="30" customFormat="true" ht="47.25" hidden="false" customHeight="false" outlineLevel="0" collapsed="false">
      <c r="A36" s="35"/>
      <c r="B36" s="35" t="s">
        <v>365</v>
      </c>
      <c r="C36" s="32" t="s">
        <v>129</v>
      </c>
      <c r="D36" s="32" t="n">
        <v>2011</v>
      </c>
      <c r="E36" s="31" t="s">
        <v>371</v>
      </c>
      <c r="F36" s="27" t="s">
        <v>45</v>
      </c>
      <c r="G36" s="32" t="s">
        <v>157</v>
      </c>
      <c r="H36" s="32" t="s">
        <v>47</v>
      </c>
      <c r="I36" s="32" t="s">
        <v>53</v>
      </c>
      <c r="J36" s="32" t="n">
        <f aca="false">'Bol data'!U6</f>
        <v>130</v>
      </c>
      <c r="K36" s="32" t="s">
        <v>75</v>
      </c>
      <c r="L36" s="32" t="s">
        <v>47</v>
      </c>
      <c r="M36" s="32" t="s">
        <v>47</v>
      </c>
      <c r="N36" s="32" t="s">
        <v>47</v>
      </c>
      <c r="O36" s="32" t="s">
        <v>75</v>
      </c>
      <c r="P36" s="32" t="s">
        <v>55</v>
      </c>
      <c r="Q36" s="32" t="s">
        <v>61</v>
      </c>
      <c r="R36" s="32" t="s">
        <v>53</v>
      </c>
      <c r="S36" s="32" t="s">
        <v>104</v>
      </c>
      <c r="T36" s="32" t="s">
        <v>53</v>
      </c>
      <c r="U36" s="32" t="s">
        <v>114</v>
      </c>
      <c r="V36" s="36" t="s">
        <v>372</v>
      </c>
      <c r="W36" s="33" t="n">
        <f aca="false">'Bol data'!U11</f>
        <v>12.6</v>
      </c>
      <c r="X36" s="37"/>
      <c r="Y36" s="37"/>
      <c r="Z36" s="35"/>
      <c r="AA36" s="35"/>
      <c r="AB36" s="35"/>
      <c r="AC36" s="35"/>
      <c r="AD36" s="35"/>
      <c r="AE36" s="35"/>
      <c r="AF36" s="35"/>
      <c r="AG36" s="35"/>
    </row>
    <row r="37" s="30" customFormat="true" ht="47.25" hidden="false" customHeight="false" outlineLevel="0" collapsed="false">
      <c r="A37" s="35"/>
      <c r="B37" s="35" t="s">
        <v>373</v>
      </c>
      <c r="C37" s="32" t="s">
        <v>374</v>
      </c>
      <c r="D37" s="32" t="n">
        <v>2014</v>
      </c>
      <c r="E37" s="31" t="s">
        <v>375</v>
      </c>
      <c r="F37" s="27" t="s">
        <v>45</v>
      </c>
      <c r="G37" s="32" t="s">
        <v>376</v>
      </c>
      <c r="H37" s="32" t="s">
        <v>47</v>
      </c>
      <c r="I37" s="32" t="s">
        <v>47</v>
      </c>
      <c r="J37" s="32" t="s">
        <v>75</v>
      </c>
      <c r="K37" s="32" t="n">
        <v>300</v>
      </c>
      <c r="L37" s="32" t="s">
        <v>47</v>
      </c>
      <c r="M37" s="32" t="s">
        <v>75</v>
      </c>
      <c r="N37" s="32" t="s">
        <v>75</v>
      </c>
      <c r="O37" s="32" t="s">
        <v>75</v>
      </c>
      <c r="P37" s="32" t="s">
        <v>55</v>
      </c>
      <c r="Q37" s="32" t="s">
        <v>50</v>
      </c>
      <c r="R37" s="32" t="s">
        <v>53</v>
      </c>
      <c r="S37" s="32" t="s">
        <v>73</v>
      </c>
      <c r="T37" s="32" t="s">
        <v>47</v>
      </c>
      <c r="U37" s="32" t="s">
        <v>363</v>
      </c>
      <c r="V37" s="36" t="s">
        <v>377</v>
      </c>
      <c r="W37" s="33" t="n">
        <f aca="false">'Wang data'!E6</f>
        <v>11.88</v>
      </c>
      <c r="X37" s="37"/>
      <c r="Y37" s="37"/>
      <c r="Z37" s="35"/>
      <c r="AA37" s="35"/>
      <c r="AB37" s="35"/>
      <c r="AC37" s="35"/>
      <c r="AD37" s="35"/>
      <c r="AE37" s="35"/>
      <c r="AF37" s="35"/>
      <c r="AG37" s="35"/>
    </row>
    <row r="38" s="30" customFormat="true" ht="47.25" hidden="false" customHeight="false" outlineLevel="0" collapsed="false">
      <c r="A38" s="35"/>
      <c r="B38" s="35" t="s">
        <v>373</v>
      </c>
      <c r="C38" s="32" t="s">
        <v>374</v>
      </c>
      <c r="D38" s="32" t="n">
        <v>2014</v>
      </c>
      <c r="E38" s="31" t="s">
        <v>375</v>
      </c>
      <c r="F38" s="27" t="s">
        <v>45</v>
      </c>
      <c r="G38" s="32" t="s">
        <v>376</v>
      </c>
      <c r="H38" s="32" t="s">
        <v>47</v>
      </c>
      <c r="I38" s="32" t="s">
        <v>47</v>
      </c>
      <c r="J38" s="32" t="s">
        <v>75</v>
      </c>
      <c r="K38" s="32" t="n">
        <v>300</v>
      </c>
      <c r="L38" s="32" t="s">
        <v>47</v>
      </c>
      <c r="M38" s="32" t="s">
        <v>75</v>
      </c>
      <c r="N38" s="32" t="s">
        <v>75</v>
      </c>
      <c r="O38" s="32" t="s">
        <v>75</v>
      </c>
      <c r="P38" s="32" t="s">
        <v>55</v>
      </c>
      <c r="Q38" s="32" t="s">
        <v>50</v>
      </c>
      <c r="R38" s="32" t="s">
        <v>53</v>
      </c>
      <c r="S38" s="32" t="s">
        <v>73</v>
      </c>
      <c r="T38" s="32" t="s">
        <v>47</v>
      </c>
      <c r="U38" s="32" t="s">
        <v>363</v>
      </c>
      <c r="V38" s="36" t="s">
        <v>378</v>
      </c>
      <c r="W38" s="33" t="n">
        <f aca="false">'Wang data'!E7</f>
        <v>12.4457142857143</v>
      </c>
      <c r="X38" s="37"/>
      <c r="Y38" s="37"/>
      <c r="Z38" s="35"/>
      <c r="AA38" s="35"/>
      <c r="AB38" s="35"/>
      <c r="AC38" s="35"/>
      <c r="AD38" s="35"/>
      <c r="AE38" s="35"/>
      <c r="AF38" s="35"/>
      <c r="AG38" s="35"/>
    </row>
    <row r="39" s="30" customFormat="true" ht="47.25" hidden="false" customHeight="false" outlineLevel="0" collapsed="false">
      <c r="A39" s="35"/>
      <c r="B39" s="35" t="s">
        <v>373</v>
      </c>
      <c r="C39" s="32" t="s">
        <v>374</v>
      </c>
      <c r="D39" s="32" t="n">
        <v>2014</v>
      </c>
      <c r="E39" s="31" t="s">
        <v>375</v>
      </c>
      <c r="F39" s="27" t="s">
        <v>45</v>
      </c>
      <c r="G39" s="32" t="s">
        <v>376</v>
      </c>
      <c r="H39" s="32" t="s">
        <v>47</v>
      </c>
      <c r="I39" s="32" t="s">
        <v>47</v>
      </c>
      <c r="J39" s="32" t="s">
        <v>75</v>
      </c>
      <c r="K39" s="32" t="n">
        <v>300</v>
      </c>
      <c r="L39" s="32" t="s">
        <v>47</v>
      </c>
      <c r="M39" s="32" t="s">
        <v>75</v>
      </c>
      <c r="N39" s="32" t="s">
        <v>75</v>
      </c>
      <c r="O39" s="32" t="s">
        <v>75</v>
      </c>
      <c r="P39" s="32" t="s">
        <v>55</v>
      </c>
      <c r="Q39" s="32" t="s">
        <v>50</v>
      </c>
      <c r="R39" s="32" t="s">
        <v>53</v>
      </c>
      <c r="S39" s="32" t="s">
        <v>73</v>
      </c>
      <c r="T39" s="32" t="s">
        <v>47</v>
      </c>
      <c r="U39" s="32" t="s">
        <v>363</v>
      </c>
      <c r="V39" s="36" t="s">
        <v>379</v>
      </c>
      <c r="W39" s="33" t="n">
        <f aca="false">'Wang data'!E8</f>
        <v>15.2228571428571</v>
      </c>
      <c r="X39" s="37"/>
      <c r="Y39" s="37"/>
      <c r="Z39" s="35"/>
      <c r="AA39" s="35"/>
      <c r="AB39" s="35"/>
      <c r="AC39" s="35"/>
      <c r="AD39" s="35"/>
      <c r="AE39" s="35"/>
      <c r="AF39" s="35"/>
      <c r="AG39" s="35"/>
    </row>
    <row r="40" s="30" customFormat="true" ht="63" hidden="false" customHeight="false" outlineLevel="0" collapsed="false">
      <c r="A40" s="35"/>
      <c r="B40" s="35" t="s">
        <v>146</v>
      </c>
      <c r="C40" s="32" t="s">
        <v>147</v>
      </c>
      <c r="D40" s="32" t="n">
        <v>2014</v>
      </c>
      <c r="E40" s="31" t="s">
        <v>148</v>
      </c>
      <c r="F40" s="27" t="s">
        <v>45</v>
      </c>
      <c r="G40" s="32" t="s">
        <v>75</v>
      </c>
      <c r="H40" s="32" t="s">
        <v>75</v>
      </c>
      <c r="I40" s="32" t="s">
        <v>82</v>
      </c>
      <c r="J40" s="32" t="s">
        <v>75</v>
      </c>
      <c r="K40" s="32" t="s">
        <v>75</v>
      </c>
      <c r="L40" s="32" t="s">
        <v>75</v>
      </c>
      <c r="M40" s="32" t="s">
        <v>75</v>
      </c>
      <c r="N40" s="32" t="s">
        <v>47</v>
      </c>
      <c r="O40" s="32" t="s">
        <v>108</v>
      </c>
      <c r="P40" s="32" t="s">
        <v>119</v>
      </c>
      <c r="Q40" s="32" t="s">
        <v>61</v>
      </c>
      <c r="R40" s="32" t="s">
        <v>53</v>
      </c>
      <c r="S40" s="32" t="s">
        <v>73</v>
      </c>
      <c r="T40" s="32" t="s">
        <v>53</v>
      </c>
      <c r="U40" s="32" t="s">
        <v>53</v>
      </c>
      <c r="V40" s="36" t="s">
        <v>380</v>
      </c>
      <c r="W40" s="33" t="n">
        <f aca="false">'Teehan data'!H30</f>
        <v>30.2</v>
      </c>
      <c r="X40" s="37"/>
      <c r="Y40" s="37"/>
      <c r="Z40" s="35"/>
      <c r="AA40" s="35"/>
      <c r="AB40" s="35"/>
      <c r="AC40" s="35"/>
      <c r="AD40" s="35"/>
      <c r="AE40" s="35"/>
      <c r="AF40" s="35"/>
      <c r="AG40" s="35"/>
    </row>
    <row r="41" s="30" customFormat="true" ht="63" hidden="false" customHeight="false" outlineLevel="0" collapsed="false">
      <c r="A41" s="35"/>
      <c r="B41" s="35" t="s">
        <v>146</v>
      </c>
      <c r="C41" s="32" t="s">
        <v>147</v>
      </c>
      <c r="D41" s="32" t="n">
        <v>2014</v>
      </c>
      <c r="E41" s="31" t="s">
        <v>148</v>
      </c>
      <c r="F41" s="27" t="s">
        <v>45</v>
      </c>
      <c r="G41" s="32" t="s">
        <v>75</v>
      </c>
      <c r="H41" s="32" t="s">
        <v>75</v>
      </c>
      <c r="I41" s="32" t="s">
        <v>82</v>
      </c>
      <c r="J41" s="32" t="s">
        <v>75</v>
      </c>
      <c r="K41" s="32" t="s">
        <v>75</v>
      </c>
      <c r="L41" s="32" t="s">
        <v>75</v>
      </c>
      <c r="M41" s="32" t="s">
        <v>75</v>
      </c>
      <c r="N41" s="32" t="s">
        <v>47</v>
      </c>
      <c r="O41" s="32" t="s">
        <v>108</v>
      </c>
      <c r="P41" s="32" t="s">
        <v>119</v>
      </c>
      <c r="Q41" s="32" t="s">
        <v>61</v>
      </c>
      <c r="R41" s="32" t="s">
        <v>53</v>
      </c>
      <c r="S41" s="32" t="s">
        <v>73</v>
      </c>
      <c r="T41" s="32" t="s">
        <v>53</v>
      </c>
      <c r="U41" s="32" t="s">
        <v>53</v>
      </c>
      <c r="V41" s="36" t="s">
        <v>151</v>
      </c>
      <c r="W41" s="33" t="n">
        <f aca="false">'Teehan data'!H33</f>
        <v>21</v>
      </c>
      <c r="X41" s="37"/>
      <c r="Y41" s="37"/>
      <c r="Z41" s="35"/>
      <c r="AA41" s="35"/>
      <c r="AB41" s="35"/>
      <c r="AC41" s="35"/>
      <c r="AD41" s="35"/>
      <c r="AE41" s="35"/>
      <c r="AF41" s="35"/>
      <c r="AG41" s="35"/>
    </row>
    <row r="42" s="30" customFormat="true" ht="63" hidden="false" customHeight="false" outlineLevel="0" collapsed="false">
      <c r="A42" s="35"/>
      <c r="B42" s="35" t="s">
        <v>146</v>
      </c>
      <c r="C42" s="32" t="s">
        <v>147</v>
      </c>
      <c r="D42" s="32" t="n">
        <v>2014</v>
      </c>
      <c r="E42" s="31" t="s">
        <v>148</v>
      </c>
      <c r="F42" s="27" t="s">
        <v>45</v>
      </c>
      <c r="G42" s="32" t="s">
        <v>75</v>
      </c>
      <c r="H42" s="32" t="s">
        <v>75</v>
      </c>
      <c r="I42" s="32" t="s">
        <v>82</v>
      </c>
      <c r="J42" s="32" t="s">
        <v>75</v>
      </c>
      <c r="K42" s="32" t="s">
        <v>75</v>
      </c>
      <c r="L42" s="32" t="s">
        <v>75</v>
      </c>
      <c r="M42" s="32" t="s">
        <v>75</v>
      </c>
      <c r="N42" s="32" t="s">
        <v>47</v>
      </c>
      <c r="O42" s="32" t="s">
        <v>108</v>
      </c>
      <c r="P42" s="32" t="s">
        <v>119</v>
      </c>
      <c r="Q42" s="32" t="s">
        <v>61</v>
      </c>
      <c r="R42" s="32" t="s">
        <v>53</v>
      </c>
      <c r="S42" s="32" t="s">
        <v>73</v>
      </c>
      <c r="T42" s="32" t="s">
        <v>53</v>
      </c>
      <c r="U42" s="32" t="s">
        <v>53</v>
      </c>
      <c r="V42" s="36" t="s">
        <v>381</v>
      </c>
      <c r="W42" s="33" t="n">
        <f aca="false">'Teehan data'!H34</f>
        <v>31</v>
      </c>
      <c r="X42" s="37"/>
      <c r="Y42" s="37"/>
      <c r="Z42" s="35"/>
      <c r="AA42" s="35"/>
      <c r="AB42" s="35"/>
      <c r="AC42" s="35"/>
      <c r="AD42" s="35"/>
      <c r="AE42" s="35"/>
      <c r="AF42" s="35"/>
      <c r="AG42" s="35"/>
    </row>
    <row r="43" s="30" customFormat="true" ht="63" hidden="false" customHeight="false" outlineLevel="0" collapsed="false">
      <c r="A43" s="35"/>
      <c r="B43" s="35" t="s">
        <v>146</v>
      </c>
      <c r="C43" s="32" t="s">
        <v>147</v>
      </c>
      <c r="D43" s="32" t="n">
        <v>2014</v>
      </c>
      <c r="E43" s="31" t="s">
        <v>148</v>
      </c>
      <c r="F43" s="27" t="s">
        <v>45</v>
      </c>
      <c r="G43" s="32" t="s">
        <v>75</v>
      </c>
      <c r="H43" s="32" t="s">
        <v>75</v>
      </c>
      <c r="I43" s="32" t="s">
        <v>82</v>
      </c>
      <c r="J43" s="32" t="s">
        <v>75</v>
      </c>
      <c r="K43" s="32" t="s">
        <v>75</v>
      </c>
      <c r="L43" s="32" t="s">
        <v>75</v>
      </c>
      <c r="M43" s="32" t="s">
        <v>75</v>
      </c>
      <c r="N43" s="32" t="s">
        <v>47</v>
      </c>
      <c r="O43" s="32" t="s">
        <v>108</v>
      </c>
      <c r="P43" s="32" t="s">
        <v>119</v>
      </c>
      <c r="Q43" s="32" t="s">
        <v>61</v>
      </c>
      <c r="R43" s="32" t="s">
        <v>53</v>
      </c>
      <c r="S43" s="32" t="s">
        <v>73</v>
      </c>
      <c r="T43" s="32" t="s">
        <v>53</v>
      </c>
      <c r="U43" s="32" t="s">
        <v>53</v>
      </c>
      <c r="V43" s="36" t="s">
        <v>382</v>
      </c>
      <c r="W43" s="33" t="n">
        <f aca="false">'Teehan data'!H35</f>
        <v>33</v>
      </c>
      <c r="X43" s="37"/>
      <c r="Y43" s="37"/>
      <c r="Z43" s="35"/>
      <c r="AA43" s="35"/>
      <c r="AB43" s="35"/>
      <c r="AC43" s="35"/>
      <c r="AD43" s="35"/>
      <c r="AE43" s="35"/>
      <c r="AF43" s="35"/>
      <c r="AG43" s="35"/>
    </row>
    <row r="44" s="30" customFormat="true" ht="63" hidden="false" customHeight="false" outlineLevel="0" collapsed="false">
      <c r="A44" s="35"/>
      <c r="B44" s="35" t="s">
        <v>146</v>
      </c>
      <c r="C44" s="32" t="s">
        <v>147</v>
      </c>
      <c r="D44" s="32" t="n">
        <v>2014</v>
      </c>
      <c r="E44" s="31" t="s">
        <v>148</v>
      </c>
      <c r="F44" s="27" t="s">
        <v>45</v>
      </c>
      <c r="G44" s="32" t="s">
        <v>75</v>
      </c>
      <c r="H44" s="32" t="s">
        <v>75</v>
      </c>
      <c r="I44" s="32" t="s">
        <v>82</v>
      </c>
      <c r="J44" s="32" t="s">
        <v>75</v>
      </c>
      <c r="K44" s="32" t="s">
        <v>75</v>
      </c>
      <c r="L44" s="32" t="s">
        <v>75</v>
      </c>
      <c r="M44" s="32" t="s">
        <v>75</v>
      </c>
      <c r="N44" s="32" t="s">
        <v>47</v>
      </c>
      <c r="O44" s="32" t="s">
        <v>108</v>
      </c>
      <c r="P44" s="32" t="s">
        <v>119</v>
      </c>
      <c r="Q44" s="32" t="s">
        <v>61</v>
      </c>
      <c r="R44" s="32" t="s">
        <v>53</v>
      </c>
      <c r="S44" s="32" t="s">
        <v>73</v>
      </c>
      <c r="T44" s="32" t="s">
        <v>53</v>
      </c>
      <c r="U44" s="32" t="s">
        <v>53</v>
      </c>
      <c r="V44" s="36" t="s">
        <v>152</v>
      </c>
      <c r="W44" s="33" t="n">
        <f aca="false">'Teehan data'!H36</f>
        <v>81</v>
      </c>
      <c r="X44" s="37"/>
      <c r="Y44" s="37"/>
      <c r="Z44" s="35"/>
      <c r="AA44" s="35"/>
      <c r="AB44" s="35"/>
      <c r="AC44" s="35"/>
      <c r="AD44" s="35"/>
      <c r="AE44" s="35"/>
      <c r="AF44" s="35"/>
      <c r="AG44" s="35"/>
    </row>
    <row r="45" s="30" customFormat="true" ht="78.75" hidden="false" customHeight="false" outlineLevel="0" collapsed="false">
      <c r="A45" s="2"/>
      <c r="B45" s="2" t="s">
        <v>136</v>
      </c>
      <c r="C45" s="32" t="s">
        <v>137</v>
      </c>
      <c r="D45" s="3" t="n">
        <v>2013</v>
      </c>
      <c r="E45" s="20" t="s">
        <v>138</v>
      </c>
      <c r="F45" s="27" t="s">
        <v>45</v>
      </c>
      <c r="G45" s="3" t="s">
        <v>102</v>
      </c>
      <c r="H45" s="3" t="s">
        <v>75</v>
      </c>
      <c r="I45" s="3" t="s">
        <v>75</v>
      </c>
      <c r="J45" s="3" t="str">
        <f aca="false">'Jones data'!D6</f>
        <v>NA</v>
      </c>
      <c r="K45" s="3" t="s">
        <v>75</v>
      </c>
      <c r="L45" s="3" t="s">
        <v>75</v>
      </c>
      <c r="M45" s="3" t="s">
        <v>75</v>
      </c>
      <c r="N45" s="3" t="s">
        <v>75</v>
      </c>
      <c r="O45" s="3" t="s">
        <v>75</v>
      </c>
      <c r="P45" s="3" t="s">
        <v>119</v>
      </c>
      <c r="Q45" s="3" t="s">
        <v>56</v>
      </c>
      <c r="R45" s="3" t="s">
        <v>114</v>
      </c>
      <c r="S45" s="3" t="s">
        <v>73</v>
      </c>
      <c r="T45" s="3" t="s">
        <v>53</v>
      </c>
      <c r="U45" s="3" t="s">
        <v>47</v>
      </c>
      <c r="V45" s="4" t="s">
        <v>139</v>
      </c>
      <c r="W45" s="28" t="n">
        <f aca="false">'Jones data'!E6</f>
        <v>55.7</v>
      </c>
      <c r="X45" s="29"/>
      <c r="Y45" s="29"/>
      <c r="Z45" s="2"/>
      <c r="AA45" s="2"/>
      <c r="AB45" s="2"/>
      <c r="AC45" s="2"/>
      <c r="AD45" s="2"/>
      <c r="AE45" s="2"/>
      <c r="AF45" s="2"/>
      <c r="AG45" s="2"/>
    </row>
    <row r="46" s="30" customFormat="true" ht="78.75" hidden="false" customHeight="false" outlineLevel="0" collapsed="false">
      <c r="A46" s="2"/>
      <c r="B46" s="2" t="s">
        <v>136</v>
      </c>
      <c r="C46" s="32" t="s">
        <v>137</v>
      </c>
      <c r="D46" s="3" t="n">
        <v>2013</v>
      </c>
      <c r="E46" s="20" t="s">
        <v>138</v>
      </c>
      <c r="F46" s="27" t="s">
        <v>45</v>
      </c>
      <c r="G46" s="3" t="s">
        <v>102</v>
      </c>
      <c r="H46" s="3" t="s">
        <v>75</v>
      </c>
      <c r="I46" s="3" t="s">
        <v>75</v>
      </c>
      <c r="J46" s="3" t="str">
        <f aca="false">'Jones data'!D7</f>
        <v>NA</v>
      </c>
      <c r="K46" s="3" t="s">
        <v>75</v>
      </c>
      <c r="L46" s="3" t="s">
        <v>75</v>
      </c>
      <c r="M46" s="3" t="s">
        <v>75</v>
      </c>
      <c r="N46" s="3" t="s">
        <v>75</v>
      </c>
      <c r="O46" s="3" t="s">
        <v>75</v>
      </c>
      <c r="P46" s="3" t="s">
        <v>119</v>
      </c>
      <c r="Q46" s="3" t="s">
        <v>56</v>
      </c>
      <c r="R46" s="3" t="s">
        <v>114</v>
      </c>
      <c r="S46" s="3" t="s">
        <v>73</v>
      </c>
      <c r="T46" s="3" t="s">
        <v>53</v>
      </c>
      <c r="U46" s="3" t="s">
        <v>47</v>
      </c>
      <c r="V46" s="4" t="s">
        <v>139</v>
      </c>
      <c r="W46" s="28" t="n">
        <f aca="false">'Jones data'!E7</f>
        <v>79.6</v>
      </c>
      <c r="X46" s="37"/>
      <c r="Y46" s="37"/>
      <c r="Z46" s="35"/>
      <c r="AA46" s="35"/>
      <c r="AB46" s="35"/>
      <c r="AC46" s="35"/>
      <c r="AD46" s="35"/>
      <c r="AE46" s="35"/>
      <c r="AF46" s="35"/>
      <c r="AG46" s="35"/>
    </row>
    <row r="47" s="30" customFormat="true" ht="78.75" hidden="false" customHeight="false" outlineLevel="0" collapsed="false">
      <c r="A47" s="2"/>
      <c r="B47" s="2" t="s">
        <v>136</v>
      </c>
      <c r="C47" s="32" t="s">
        <v>137</v>
      </c>
      <c r="D47" s="3" t="n">
        <v>2013</v>
      </c>
      <c r="E47" s="20" t="s">
        <v>138</v>
      </c>
      <c r="F47" s="27" t="s">
        <v>45</v>
      </c>
      <c r="G47" s="3" t="s">
        <v>102</v>
      </c>
      <c r="H47" s="3" t="s">
        <v>75</v>
      </c>
      <c r="I47" s="3" t="s">
        <v>75</v>
      </c>
      <c r="J47" s="3" t="n">
        <f aca="false">'Jones data'!D8</f>
        <v>350</v>
      </c>
      <c r="K47" s="3" t="s">
        <v>75</v>
      </c>
      <c r="L47" s="3" t="s">
        <v>75</v>
      </c>
      <c r="M47" s="3" t="s">
        <v>75</v>
      </c>
      <c r="N47" s="3" t="s">
        <v>75</v>
      </c>
      <c r="O47" s="3" t="s">
        <v>75</v>
      </c>
      <c r="P47" s="3" t="s">
        <v>119</v>
      </c>
      <c r="Q47" s="3" t="s">
        <v>56</v>
      </c>
      <c r="R47" s="3" t="s">
        <v>114</v>
      </c>
      <c r="S47" s="3" t="s">
        <v>73</v>
      </c>
      <c r="T47" s="3" t="s">
        <v>53</v>
      </c>
      <c r="U47" s="3" t="s">
        <v>47</v>
      </c>
      <c r="V47" s="4" t="s">
        <v>139</v>
      </c>
      <c r="W47" s="28" t="n">
        <f aca="false">'Jones data'!E8</f>
        <v>94</v>
      </c>
      <c r="X47" s="37"/>
      <c r="Y47" s="37"/>
      <c r="Z47" s="35"/>
      <c r="AA47" s="35"/>
      <c r="AB47" s="35"/>
      <c r="AC47" s="35"/>
      <c r="AD47" s="35"/>
      <c r="AE47" s="35"/>
      <c r="AF47" s="35"/>
      <c r="AG47" s="35"/>
    </row>
    <row r="48" s="30" customFormat="true" ht="78.75" hidden="false" customHeight="false" outlineLevel="0" collapsed="false">
      <c r="A48" s="2"/>
      <c r="B48" s="2" t="s">
        <v>136</v>
      </c>
      <c r="C48" s="32" t="s">
        <v>137</v>
      </c>
      <c r="D48" s="3" t="n">
        <v>2013</v>
      </c>
      <c r="E48" s="20" t="s">
        <v>138</v>
      </c>
      <c r="F48" s="27" t="s">
        <v>45</v>
      </c>
      <c r="G48" s="3" t="s">
        <v>102</v>
      </c>
      <c r="H48" s="3" t="s">
        <v>75</v>
      </c>
      <c r="I48" s="3" t="s">
        <v>75</v>
      </c>
      <c r="J48" s="3" t="n">
        <f aca="false">'Jones data'!D9</f>
        <v>250</v>
      </c>
      <c r="K48" s="3" t="s">
        <v>75</v>
      </c>
      <c r="L48" s="3" t="s">
        <v>75</v>
      </c>
      <c r="M48" s="3" t="s">
        <v>75</v>
      </c>
      <c r="N48" s="3" t="s">
        <v>75</v>
      </c>
      <c r="O48" s="3" t="s">
        <v>75</v>
      </c>
      <c r="P48" s="3" t="s">
        <v>119</v>
      </c>
      <c r="Q48" s="3" t="s">
        <v>56</v>
      </c>
      <c r="R48" s="3" t="s">
        <v>114</v>
      </c>
      <c r="S48" s="3" t="s">
        <v>73</v>
      </c>
      <c r="T48" s="3" t="s">
        <v>53</v>
      </c>
      <c r="U48" s="3" t="s">
        <v>47</v>
      </c>
      <c r="V48" s="4" t="s">
        <v>139</v>
      </c>
      <c r="W48" s="28" t="n">
        <f aca="false">'Jones data'!E9</f>
        <v>75</v>
      </c>
      <c r="X48" s="37"/>
      <c r="Y48" s="37"/>
      <c r="Z48" s="35"/>
      <c r="AA48" s="35"/>
      <c r="AB48" s="35"/>
      <c r="AC48" s="35"/>
      <c r="AD48" s="35"/>
      <c r="AE48" s="35"/>
      <c r="AF48" s="35"/>
      <c r="AG48" s="35"/>
    </row>
    <row r="49" s="30" customFormat="true" ht="78.75" hidden="false" customHeight="false" outlineLevel="0" collapsed="false">
      <c r="A49" s="2"/>
      <c r="B49" s="2" t="s">
        <v>136</v>
      </c>
      <c r="C49" s="32" t="s">
        <v>137</v>
      </c>
      <c r="D49" s="3" t="n">
        <v>2013</v>
      </c>
      <c r="E49" s="20" t="s">
        <v>138</v>
      </c>
      <c r="F49" s="27" t="s">
        <v>45</v>
      </c>
      <c r="G49" s="3" t="s">
        <v>102</v>
      </c>
      <c r="H49" s="3" t="s">
        <v>75</v>
      </c>
      <c r="I49" s="3" t="s">
        <v>75</v>
      </c>
      <c r="J49" s="3" t="n">
        <f aca="false">'Jones data'!D10</f>
        <v>180</v>
      </c>
      <c r="K49" s="3" t="s">
        <v>75</v>
      </c>
      <c r="L49" s="3" t="s">
        <v>75</v>
      </c>
      <c r="M49" s="3" t="s">
        <v>75</v>
      </c>
      <c r="N49" s="3" t="s">
        <v>75</v>
      </c>
      <c r="O49" s="3" t="s">
        <v>75</v>
      </c>
      <c r="P49" s="3" t="s">
        <v>119</v>
      </c>
      <c r="Q49" s="3" t="s">
        <v>56</v>
      </c>
      <c r="R49" s="3" t="s">
        <v>114</v>
      </c>
      <c r="S49" s="3" t="s">
        <v>73</v>
      </c>
      <c r="T49" s="3" t="s">
        <v>53</v>
      </c>
      <c r="U49" s="3" t="s">
        <v>47</v>
      </c>
      <c r="V49" s="4" t="s">
        <v>139</v>
      </c>
      <c r="W49" s="28" t="n">
        <f aca="false">'Jones data'!E10</f>
        <v>71</v>
      </c>
      <c r="X49" s="37"/>
      <c r="Y49" s="37"/>
      <c r="Z49" s="35"/>
      <c r="AA49" s="35"/>
      <c r="AB49" s="35"/>
      <c r="AC49" s="35"/>
      <c r="AD49" s="35"/>
      <c r="AE49" s="35"/>
      <c r="AF49" s="35"/>
      <c r="AG49" s="35"/>
    </row>
    <row r="50" s="30" customFormat="true" ht="78.75" hidden="false" customHeight="false" outlineLevel="0" collapsed="false">
      <c r="A50" s="2"/>
      <c r="B50" s="2" t="s">
        <v>136</v>
      </c>
      <c r="C50" s="32" t="s">
        <v>137</v>
      </c>
      <c r="D50" s="3" t="n">
        <v>2013</v>
      </c>
      <c r="E50" s="20" t="s">
        <v>138</v>
      </c>
      <c r="F50" s="27" t="s">
        <v>45</v>
      </c>
      <c r="G50" s="3" t="s">
        <v>102</v>
      </c>
      <c r="H50" s="3" t="s">
        <v>75</v>
      </c>
      <c r="I50" s="3" t="s">
        <v>75</v>
      </c>
      <c r="J50" s="3" t="n">
        <f aca="false">'Jones data'!D11</f>
        <v>130</v>
      </c>
      <c r="K50" s="3" t="s">
        <v>75</v>
      </c>
      <c r="L50" s="3" t="s">
        <v>75</v>
      </c>
      <c r="M50" s="3" t="s">
        <v>75</v>
      </c>
      <c r="N50" s="3" t="s">
        <v>75</v>
      </c>
      <c r="O50" s="3" t="s">
        <v>75</v>
      </c>
      <c r="P50" s="3" t="s">
        <v>119</v>
      </c>
      <c r="Q50" s="3" t="s">
        <v>56</v>
      </c>
      <c r="R50" s="3" t="s">
        <v>114</v>
      </c>
      <c r="S50" s="3" t="s">
        <v>73</v>
      </c>
      <c r="T50" s="3" t="s">
        <v>53</v>
      </c>
      <c r="U50" s="3" t="s">
        <v>47</v>
      </c>
      <c r="V50" s="4" t="s">
        <v>139</v>
      </c>
      <c r="W50" s="28" t="n">
        <f aca="false">'Jones data'!E11</f>
        <v>56</v>
      </c>
      <c r="X50" s="37"/>
      <c r="Y50" s="37"/>
      <c r="Z50" s="35"/>
      <c r="AA50" s="35"/>
      <c r="AB50" s="35"/>
      <c r="AC50" s="35"/>
      <c r="AD50" s="35"/>
      <c r="AE50" s="35"/>
      <c r="AF50" s="35"/>
      <c r="AG50" s="35"/>
    </row>
    <row r="51" s="30" customFormat="true" ht="78.75" hidden="false" customHeight="false" outlineLevel="0" collapsed="false">
      <c r="A51" s="2"/>
      <c r="B51" s="2" t="s">
        <v>136</v>
      </c>
      <c r="C51" s="32" t="s">
        <v>137</v>
      </c>
      <c r="D51" s="3" t="n">
        <v>2013</v>
      </c>
      <c r="E51" s="20" t="s">
        <v>138</v>
      </c>
      <c r="F51" s="27" t="s">
        <v>45</v>
      </c>
      <c r="G51" s="3" t="s">
        <v>102</v>
      </c>
      <c r="H51" s="3" t="s">
        <v>75</v>
      </c>
      <c r="I51" s="3" t="s">
        <v>75</v>
      </c>
      <c r="J51" s="3" t="n">
        <f aca="false">'Jones data'!D12</f>
        <v>90</v>
      </c>
      <c r="K51" s="3" t="s">
        <v>75</v>
      </c>
      <c r="L51" s="3" t="s">
        <v>75</v>
      </c>
      <c r="M51" s="3" t="s">
        <v>75</v>
      </c>
      <c r="N51" s="3" t="s">
        <v>75</v>
      </c>
      <c r="O51" s="3" t="s">
        <v>75</v>
      </c>
      <c r="P51" s="3" t="s">
        <v>119</v>
      </c>
      <c r="Q51" s="3" t="s">
        <v>56</v>
      </c>
      <c r="R51" s="3" t="s">
        <v>114</v>
      </c>
      <c r="S51" s="3" t="s">
        <v>73</v>
      </c>
      <c r="T51" s="3" t="s">
        <v>53</v>
      </c>
      <c r="U51" s="3" t="s">
        <v>47</v>
      </c>
      <c r="V51" s="4" t="s">
        <v>139</v>
      </c>
      <c r="W51" s="28" t="n">
        <f aca="false">'Jones data'!E12</f>
        <v>57</v>
      </c>
      <c r="X51" s="37"/>
      <c r="Y51" s="37"/>
      <c r="Z51" s="35"/>
      <c r="AA51" s="35"/>
      <c r="AB51" s="35"/>
      <c r="AC51" s="35"/>
      <c r="AD51" s="35"/>
      <c r="AE51" s="35"/>
      <c r="AF51" s="35"/>
      <c r="AG51" s="35"/>
    </row>
    <row r="52" s="30" customFormat="true" ht="78.75" hidden="false" customHeight="false" outlineLevel="0" collapsed="false">
      <c r="A52" s="2"/>
      <c r="B52" s="2" t="s">
        <v>136</v>
      </c>
      <c r="C52" s="32" t="s">
        <v>137</v>
      </c>
      <c r="D52" s="3" t="n">
        <v>2013</v>
      </c>
      <c r="E52" s="20" t="s">
        <v>138</v>
      </c>
      <c r="F52" s="27" t="s">
        <v>45</v>
      </c>
      <c r="G52" s="3" t="s">
        <v>102</v>
      </c>
      <c r="H52" s="3" t="s">
        <v>75</v>
      </c>
      <c r="I52" s="3" t="s">
        <v>75</v>
      </c>
      <c r="J52" s="3" t="n">
        <f aca="false">'Jones data'!D13</f>
        <v>65</v>
      </c>
      <c r="K52" s="3" t="s">
        <v>75</v>
      </c>
      <c r="L52" s="3" t="s">
        <v>75</v>
      </c>
      <c r="M52" s="3" t="s">
        <v>75</v>
      </c>
      <c r="N52" s="3" t="s">
        <v>75</v>
      </c>
      <c r="O52" s="3" t="s">
        <v>75</v>
      </c>
      <c r="P52" s="3" t="s">
        <v>119</v>
      </c>
      <c r="Q52" s="3" t="s">
        <v>56</v>
      </c>
      <c r="R52" s="3" t="s">
        <v>114</v>
      </c>
      <c r="S52" s="3" t="s">
        <v>73</v>
      </c>
      <c r="T52" s="3" t="s">
        <v>53</v>
      </c>
      <c r="U52" s="3" t="s">
        <v>47</v>
      </c>
      <c r="V52" s="4" t="s">
        <v>139</v>
      </c>
      <c r="W52" s="28" t="n">
        <f aca="false">'Jones data'!E13</f>
        <v>64</v>
      </c>
      <c r="X52" s="37"/>
      <c r="Y52" s="37"/>
      <c r="Z52" s="35"/>
      <c r="AA52" s="35"/>
      <c r="AB52" s="35"/>
      <c r="AC52" s="35"/>
      <c r="AD52" s="35"/>
      <c r="AE52" s="35"/>
      <c r="AF52" s="35"/>
      <c r="AG52" s="35"/>
    </row>
    <row r="53" s="30" customFormat="true" ht="78.75" hidden="false" customHeight="false" outlineLevel="0" collapsed="false">
      <c r="A53" s="2"/>
      <c r="B53" s="2" t="s">
        <v>136</v>
      </c>
      <c r="C53" s="32" t="s">
        <v>137</v>
      </c>
      <c r="D53" s="3" t="n">
        <v>2013</v>
      </c>
      <c r="E53" s="20" t="s">
        <v>138</v>
      </c>
      <c r="F53" s="27" t="s">
        <v>45</v>
      </c>
      <c r="G53" s="3" t="s">
        <v>102</v>
      </c>
      <c r="H53" s="3" t="s">
        <v>75</v>
      </c>
      <c r="I53" s="3" t="s">
        <v>75</v>
      </c>
      <c r="J53" s="3" t="n">
        <f aca="false">'Jones data'!D14</f>
        <v>45</v>
      </c>
      <c r="K53" s="3" t="s">
        <v>75</v>
      </c>
      <c r="L53" s="3" t="s">
        <v>75</v>
      </c>
      <c r="M53" s="3" t="s">
        <v>75</v>
      </c>
      <c r="N53" s="3" t="s">
        <v>75</v>
      </c>
      <c r="O53" s="3" t="s">
        <v>75</v>
      </c>
      <c r="P53" s="3" t="s">
        <v>119</v>
      </c>
      <c r="Q53" s="3" t="s">
        <v>56</v>
      </c>
      <c r="R53" s="3" t="s">
        <v>114</v>
      </c>
      <c r="S53" s="3" t="s">
        <v>73</v>
      </c>
      <c r="T53" s="3" t="s">
        <v>53</v>
      </c>
      <c r="U53" s="3" t="s">
        <v>47</v>
      </c>
      <c r="V53" s="4" t="s">
        <v>139</v>
      </c>
      <c r="W53" s="28" t="n">
        <f aca="false">'Jones data'!E14</f>
        <v>80</v>
      </c>
      <c r="X53" s="37"/>
      <c r="Y53" s="37"/>
      <c r="Z53" s="35"/>
      <c r="AA53" s="35"/>
      <c r="AB53" s="35"/>
      <c r="AC53" s="35"/>
      <c r="AD53" s="35"/>
      <c r="AE53" s="35"/>
      <c r="AF53" s="35"/>
      <c r="AG53" s="35"/>
    </row>
    <row r="54" s="30" customFormat="true" ht="78.75" hidden="false" customHeight="false" outlineLevel="0" collapsed="false">
      <c r="A54" s="2"/>
      <c r="B54" s="2" t="s">
        <v>383</v>
      </c>
      <c r="C54" s="32" t="s">
        <v>384</v>
      </c>
      <c r="D54" s="32" t="n">
        <v>2013</v>
      </c>
      <c r="E54" s="20" t="s">
        <v>385</v>
      </c>
      <c r="F54" s="27" t="s">
        <v>45</v>
      </c>
      <c r="G54" s="32" t="s">
        <v>52</v>
      </c>
      <c r="H54" s="32" t="s">
        <v>47</v>
      </c>
      <c r="I54" s="32" t="s">
        <v>74</v>
      </c>
      <c r="J54" s="32" t="n">
        <v>45</v>
      </c>
      <c r="K54" s="32" t="n">
        <v>300</v>
      </c>
      <c r="L54" s="32" t="s">
        <v>73</v>
      </c>
      <c r="M54" s="32" t="s">
        <v>53</v>
      </c>
      <c r="N54" s="32" t="s">
        <v>53</v>
      </c>
      <c r="O54" s="32"/>
      <c r="P54" s="32" t="s">
        <v>174</v>
      </c>
      <c r="Q54" s="32" t="s">
        <v>75</v>
      </c>
      <c r="R54" s="32" t="s">
        <v>53</v>
      </c>
      <c r="S54" s="32" t="s">
        <v>78</v>
      </c>
      <c r="T54" s="32" t="s">
        <v>75</v>
      </c>
      <c r="U54" s="32" t="s">
        <v>47</v>
      </c>
      <c r="V54" s="4" t="s">
        <v>386</v>
      </c>
      <c r="W54" s="28" t="n">
        <f aca="false">'Prakash data'!D12</f>
        <v>17.208</v>
      </c>
      <c r="AB54" s="2"/>
      <c r="AC54" s="2"/>
      <c r="AD54" s="2"/>
      <c r="AE54" s="2"/>
      <c r="AF54" s="2"/>
      <c r="AG54" s="2"/>
    </row>
    <row r="55" s="30" customFormat="true" ht="78.75" hidden="false" customHeight="false" outlineLevel="0" collapsed="false">
      <c r="A55" s="2"/>
      <c r="B55" s="2" t="s">
        <v>85</v>
      </c>
      <c r="C55" s="32" t="s">
        <v>86</v>
      </c>
      <c r="D55" s="3" t="n">
        <v>2012</v>
      </c>
      <c r="E55" s="20" t="s">
        <v>98</v>
      </c>
      <c r="F55" s="27" t="s">
        <v>45</v>
      </c>
      <c r="G55" s="3" t="s">
        <v>52</v>
      </c>
      <c r="H55" s="32" t="s">
        <v>47</v>
      </c>
      <c r="I55" s="3" t="s">
        <v>74</v>
      </c>
      <c r="J55" s="3" t="n">
        <v>250</v>
      </c>
      <c r="K55" s="3" t="n">
        <v>300</v>
      </c>
      <c r="L55" s="3" t="s">
        <v>47</v>
      </c>
      <c r="M55" s="3" t="s">
        <v>47</v>
      </c>
      <c r="N55" s="3" t="s">
        <v>47</v>
      </c>
      <c r="O55" s="32"/>
      <c r="P55" s="3" t="s">
        <v>119</v>
      </c>
      <c r="Q55" s="3" t="s">
        <v>61</v>
      </c>
      <c r="R55" s="3" t="s">
        <v>47</v>
      </c>
      <c r="S55" s="32" t="s">
        <v>78</v>
      </c>
      <c r="T55" s="3" t="s">
        <v>47</v>
      </c>
      <c r="U55" s="3" t="s">
        <v>73</v>
      </c>
      <c r="V55" s="4" t="s">
        <v>387</v>
      </c>
      <c r="W55" s="28" t="n">
        <f aca="false">'Boyd data'!C61</f>
        <v>35.6</v>
      </c>
      <c r="X55" s="2"/>
      <c r="Y55" s="2"/>
      <c r="Z55" s="2"/>
      <c r="AA55" s="2"/>
      <c r="AB55" s="2"/>
      <c r="AC55" s="2"/>
      <c r="AD55" s="2"/>
      <c r="AE55" s="2"/>
      <c r="AF55" s="2"/>
      <c r="AG55" s="2"/>
    </row>
    <row r="56" s="30" customFormat="true" ht="31.5" hidden="false" customHeight="false" outlineLevel="0" collapsed="false">
      <c r="A56" s="2"/>
      <c r="B56" s="2" t="s">
        <v>388</v>
      </c>
      <c r="C56" s="32" t="s">
        <v>389</v>
      </c>
      <c r="D56" s="3" t="n">
        <v>2020</v>
      </c>
      <c r="E56" s="20" t="s">
        <v>390</v>
      </c>
      <c r="F56" s="27" t="s">
        <v>45</v>
      </c>
      <c r="G56" s="3" t="str">
        <f aca="false">'Das data'!D6</f>
        <v>M</v>
      </c>
      <c r="H56" s="3" t="s">
        <v>75</v>
      </c>
      <c r="I56" s="3" t="s">
        <v>75</v>
      </c>
      <c r="J56" s="3" t="n">
        <f aca="false">'Das data'!C6</f>
        <v>57</v>
      </c>
      <c r="K56" s="3" t="s">
        <v>75</v>
      </c>
      <c r="L56" s="3" t="s">
        <v>75</v>
      </c>
      <c r="M56" s="3" t="s">
        <v>75</v>
      </c>
      <c r="N56" s="3" t="s">
        <v>75</v>
      </c>
      <c r="O56" s="32" t="s">
        <v>75</v>
      </c>
      <c r="P56" s="3" t="s">
        <v>55</v>
      </c>
      <c r="Q56" s="3" t="s">
        <v>56</v>
      </c>
      <c r="R56" s="3" t="s">
        <v>75</v>
      </c>
      <c r="S56" s="3" t="s">
        <v>73</v>
      </c>
      <c r="T56" s="3" t="s">
        <v>75</v>
      </c>
      <c r="U56" s="3" t="s">
        <v>108</v>
      </c>
      <c r="V56" s="4" t="s">
        <v>391</v>
      </c>
      <c r="W56" s="28" t="n">
        <f aca="false">'Das data'!F6</f>
        <v>21</v>
      </c>
      <c r="X56" s="63"/>
      <c r="Y56" s="63"/>
      <c r="Z56" s="63"/>
      <c r="AA56" s="2"/>
      <c r="AB56" s="2"/>
      <c r="AC56" s="2"/>
      <c r="AD56" s="2"/>
      <c r="AE56" s="2"/>
      <c r="AF56" s="2"/>
      <c r="AG56" s="2"/>
    </row>
    <row r="57" s="30" customFormat="true" ht="31.5" hidden="false" customHeight="false" outlineLevel="0" collapsed="false">
      <c r="A57" s="2"/>
      <c r="B57" s="2" t="s">
        <v>388</v>
      </c>
      <c r="C57" s="32" t="s">
        <v>389</v>
      </c>
      <c r="D57" s="3" t="n">
        <v>2020</v>
      </c>
      <c r="E57" s="20" t="s">
        <v>390</v>
      </c>
      <c r="F57" s="27" t="s">
        <v>45</v>
      </c>
      <c r="G57" s="3" t="str">
        <f aca="false">'Das data'!D7</f>
        <v>M</v>
      </c>
      <c r="H57" s="3" t="s">
        <v>75</v>
      </c>
      <c r="I57" s="3" t="s">
        <v>75</v>
      </c>
      <c r="J57" s="3" t="n">
        <f aca="false">'Das data'!C7</f>
        <v>57</v>
      </c>
      <c r="K57" s="3" t="s">
        <v>75</v>
      </c>
      <c r="L57" s="3" t="s">
        <v>75</v>
      </c>
      <c r="M57" s="3" t="s">
        <v>75</v>
      </c>
      <c r="N57" s="3" t="s">
        <v>75</v>
      </c>
      <c r="O57" s="32" t="s">
        <v>75</v>
      </c>
      <c r="P57" s="3" t="s">
        <v>55</v>
      </c>
      <c r="Q57" s="3" t="s">
        <v>56</v>
      </c>
      <c r="R57" s="3" t="s">
        <v>75</v>
      </c>
      <c r="S57" s="3" t="s">
        <v>73</v>
      </c>
      <c r="T57" s="3" t="s">
        <v>75</v>
      </c>
      <c r="U57" s="3" t="s">
        <v>108</v>
      </c>
      <c r="V57" s="4" t="s">
        <v>391</v>
      </c>
      <c r="W57" s="28" t="n">
        <f aca="false">'Das data'!F7</f>
        <v>31</v>
      </c>
      <c r="X57" s="63"/>
      <c r="Y57" s="63"/>
      <c r="Z57" s="63"/>
      <c r="AA57" s="2"/>
      <c r="AB57" s="2"/>
      <c r="AC57" s="2"/>
      <c r="AD57" s="2"/>
      <c r="AE57" s="2"/>
      <c r="AF57" s="2"/>
      <c r="AG57" s="2"/>
    </row>
    <row r="58" s="30" customFormat="true" ht="31.5" hidden="false" customHeight="false" outlineLevel="0" collapsed="false">
      <c r="A58" s="2"/>
      <c r="B58" s="2" t="s">
        <v>388</v>
      </c>
      <c r="C58" s="32" t="s">
        <v>389</v>
      </c>
      <c r="D58" s="3" t="n">
        <v>2020</v>
      </c>
      <c r="E58" s="20" t="s">
        <v>392</v>
      </c>
      <c r="F58" s="27" t="s">
        <v>45</v>
      </c>
      <c r="G58" s="3" t="str">
        <f aca="false">'Das data'!D8</f>
        <v>M</v>
      </c>
      <c r="H58" s="3" t="s">
        <v>75</v>
      </c>
      <c r="I58" s="3" t="s">
        <v>75</v>
      </c>
      <c r="J58" s="3" t="n">
        <f aca="false">'Das data'!C8</f>
        <v>57</v>
      </c>
      <c r="K58" s="3" t="s">
        <v>75</v>
      </c>
      <c r="L58" s="3" t="s">
        <v>75</v>
      </c>
      <c r="M58" s="3" t="s">
        <v>75</v>
      </c>
      <c r="N58" s="3" t="s">
        <v>75</v>
      </c>
      <c r="O58" s="32" t="s">
        <v>75</v>
      </c>
      <c r="P58" s="3" t="s">
        <v>55</v>
      </c>
      <c r="Q58" s="3" t="s">
        <v>56</v>
      </c>
      <c r="R58" s="3" t="s">
        <v>75</v>
      </c>
      <c r="S58" s="3" t="s">
        <v>73</v>
      </c>
      <c r="T58" s="3" t="s">
        <v>75</v>
      </c>
      <c r="U58" s="3" t="s">
        <v>108</v>
      </c>
      <c r="V58" s="4" t="s">
        <v>391</v>
      </c>
      <c r="W58" s="28" t="n">
        <f aca="false">'Das data'!F8</f>
        <v>18</v>
      </c>
      <c r="X58" s="63"/>
      <c r="Y58" s="63"/>
      <c r="Z58" s="63"/>
      <c r="AA58" s="2"/>
      <c r="AB58" s="2"/>
      <c r="AC58" s="2"/>
      <c r="AD58" s="2"/>
      <c r="AE58" s="2"/>
      <c r="AF58" s="2"/>
      <c r="AG58" s="2"/>
    </row>
    <row r="59" s="30" customFormat="true" ht="31.5" hidden="false" customHeight="false" outlineLevel="0" collapsed="false">
      <c r="A59" s="2"/>
      <c r="B59" s="2" t="s">
        <v>388</v>
      </c>
      <c r="C59" s="32" t="s">
        <v>389</v>
      </c>
      <c r="D59" s="3" t="n">
        <v>2020</v>
      </c>
      <c r="E59" s="20" t="s">
        <v>393</v>
      </c>
      <c r="F59" s="27" t="s">
        <v>45</v>
      </c>
      <c r="G59" s="3" t="str">
        <f aca="false">'Das data'!D9</f>
        <v>NA</v>
      </c>
      <c r="H59" s="3" t="s">
        <v>75</v>
      </c>
      <c r="I59" s="3" t="s">
        <v>75</v>
      </c>
      <c r="J59" s="3" t="n">
        <f aca="false">'Das data'!C9</f>
        <v>250</v>
      </c>
      <c r="K59" s="3" t="s">
        <v>75</v>
      </c>
      <c r="L59" s="3" t="s">
        <v>75</v>
      </c>
      <c r="M59" s="3" t="s">
        <v>75</v>
      </c>
      <c r="N59" s="3" t="s">
        <v>75</v>
      </c>
      <c r="O59" s="32" t="s">
        <v>75</v>
      </c>
      <c r="P59" s="3" t="s">
        <v>55</v>
      </c>
      <c r="Q59" s="3" t="s">
        <v>56</v>
      </c>
      <c r="R59" s="3" t="s">
        <v>75</v>
      </c>
      <c r="S59" s="3" t="s">
        <v>73</v>
      </c>
      <c r="T59" s="3" t="s">
        <v>75</v>
      </c>
      <c r="U59" s="3" t="s">
        <v>108</v>
      </c>
      <c r="V59" s="4" t="s">
        <v>391</v>
      </c>
      <c r="W59" s="28" t="n">
        <f aca="false">'Das data'!F9</f>
        <v>36</v>
      </c>
      <c r="X59" s="63"/>
      <c r="Y59" s="63"/>
      <c r="Z59" s="63"/>
      <c r="AA59" s="2"/>
      <c r="AB59" s="2"/>
      <c r="AC59" s="2"/>
      <c r="AD59" s="2"/>
      <c r="AE59" s="2"/>
      <c r="AF59" s="2"/>
      <c r="AG59" s="2"/>
    </row>
    <row r="60" s="30" customFormat="true" ht="31.5" hidden="false" customHeight="false" outlineLevel="0" collapsed="false">
      <c r="A60" s="2"/>
      <c r="B60" s="2" t="s">
        <v>388</v>
      </c>
      <c r="C60" s="32" t="s">
        <v>389</v>
      </c>
      <c r="D60" s="3" t="n">
        <v>2020</v>
      </c>
      <c r="E60" s="20" t="s">
        <v>394</v>
      </c>
      <c r="F60" s="27" t="s">
        <v>45</v>
      </c>
      <c r="G60" s="3" t="str">
        <f aca="false">'Das data'!D10</f>
        <v>NA</v>
      </c>
      <c r="H60" s="3" t="s">
        <v>75</v>
      </c>
      <c r="I60" s="3" t="s">
        <v>75</v>
      </c>
      <c r="J60" s="3" t="n">
        <f aca="false">'Das data'!C10</f>
        <v>250</v>
      </c>
      <c r="K60" s="3" t="s">
        <v>75</v>
      </c>
      <c r="L60" s="3" t="s">
        <v>75</v>
      </c>
      <c r="M60" s="3" t="s">
        <v>75</v>
      </c>
      <c r="N60" s="3" t="s">
        <v>75</v>
      </c>
      <c r="O60" s="32" t="s">
        <v>75</v>
      </c>
      <c r="P60" s="3" t="s">
        <v>55</v>
      </c>
      <c r="Q60" s="3" t="s">
        <v>56</v>
      </c>
      <c r="R60" s="3" t="s">
        <v>75</v>
      </c>
      <c r="S60" s="3" t="s">
        <v>73</v>
      </c>
      <c r="T60" s="3" t="s">
        <v>75</v>
      </c>
      <c r="U60" s="3" t="s">
        <v>108</v>
      </c>
      <c r="V60" s="4" t="s">
        <v>391</v>
      </c>
      <c r="W60" s="28" t="n">
        <f aca="false">'Das data'!F10</f>
        <v>1.9</v>
      </c>
      <c r="X60" s="63"/>
      <c r="Y60" s="63"/>
      <c r="Z60" s="63"/>
      <c r="AA60" s="2"/>
      <c r="AB60" s="2"/>
      <c r="AC60" s="2"/>
      <c r="AD60" s="2"/>
      <c r="AE60" s="2"/>
      <c r="AF60" s="2"/>
      <c r="AG60" s="2"/>
    </row>
    <row r="61" s="30" customFormat="true" ht="31.5" hidden="false" customHeight="false" outlineLevel="0" collapsed="false">
      <c r="A61" s="2"/>
      <c r="B61" s="2" t="s">
        <v>388</v>
      </c>
      <c r="C61" s="32" t="s">
        <v>389</v>
      </c>
      <c r="D61" s="3" t="n">
        <v>2020</v>
      </c>
      <c r="E61" s="20" t="s">
        <v>395</v>
      </c>
      <c r="F61" s="27" t="s">
        <v>45</v>
      </c>
      <c r="G61" s="3" t="str">
        <f aca="false">'Das data'!D11</f>
        <v>NA</v>
      </c>
      <c r="H61" s="3" t="s">
        <v>75</v>
      </c>
      <c r="I61" s="3" t="s">
        <v>75</v>
      </c>
      <c r="J61" s="3" t="n">
        <f aca="false">'Das data'!C11</f>
        <v>250</v>
      </c>
      <c r="K61" s="3" t="s">
        <v>75</v>
      </c>
      <c r="L61" s="3" t="s">
        <v>75</v>
      </c>
      <c r="M61" s="3" t="s">
        <v>75</v>
      </c>
      <c r="N61" s="3" t="s">
        <v>75</v>
      </c>
      <c r="O61" s="32" t="s">
        <v>75</v>
      </c>
      <c r="P61" s="3" t="s">
        <v>55</v>
      </c>
      <c r="Q61" s="3" t="s">
        <v>56</v>
      </c>
      <c r="R61" s="3" t="s">
        <v>75</v>
      </c>
      <c r="S61" s="3" t="s">
        <v>73</v>
      </c>
      <c r="T61" s="3" t="s">
        <v>75</v>
      </c>
      <c r="U61" s="3" t="s">
        <v>108</v>
      </c>
      <c r="V61" s="4" t="s">
        <v>391</v>
      </c>
      <c r="W61" s="28" t="n">
        <f aca="false">'Das data'!F11</f>
        <v>6.8</v>
      </c>
      <c r="X61" s="63"/>
      <c r="Y61" s="63"/>
      <c r="Z61" s="63"/>
      <c r="AA61" s="2"/>
      <c r="AB61" s="2"/>
      <c r="AC61" s="2"/>
      <c r="AD61" s="2"/>
      <c r="AE61" s="2"/>
      <c r="AF61" s="2"/>
      <c r="AG61" s="2"/>
    </row>
    <row r="62" s="30" customFormat="true" ht="31.5" hidden="false" customHeight="false" outlineLevel="0" collapsed="false">
      <c r="A62" s="2"/>
      <c r="B62" s="2" t="s">
        <v>388</v>
      </c>
      <c r="C62" s="32" t="s">
        <v>389</v>
      </c>
      <c r="D62" s="3" t="n">
        <v>2020</v>
      </c>
      <c r="E62" s="20" t="s">
        <v>396</v>
      </c>
      <c r="F62" s="27" t="s">
        <v>45</v>
      </c>
      <c r="G62" s="3" t="str">
        <f aca="false">'Das data'!D12</f>
        <v>M</v>
      </c>
      <c r="H62" s="3" t="s">
        <v>75</v>
      </c>
      <c r="I62" s="3" t="s">
        <v>75</v>
      </c>
      <c r="J62" s="3" t="n">
        <f aca="false">'Das data'!C12</f>
        <v>57</v>
      </c>
      <c r="K62" s="3" t="s">
        <v>75</v>
      </c>
      <c r="L62" s="3" t="s">
        <v>75</v>
      </c>
      <c r="M62" s="3" t="s">
        <v>75</v>
      </c>
      <c r="N62" s="3" t="s">
        <v>75</v>
      </c>
      <c r="O62" s="32" t="s">
        <v>75</v>
      </c>
      <c r="P62" s="3" t="s">
        <v>55</v>
      </c>
      <c r="Q62" s="3" t="s">
        <v>56</v>
      </c>
      <c r="R62" s="3" t="s">
        <v>75</v>
      </c>
      <c r="S62" s="3" t="s">
        <v>73</v>
      </c>
      <c r="T62" s="3" t="s">
        <v>75</v>
      </c>
      <c r="U62" s="3" t="s">
        <v>108</v>
      </c>
      <c r="V62" s="4" t="s">
        <v>391</v>
      </c>
      <c r="W62" s="28" t="n">
        <f aca="false">'Das data'!F12</f>
        <v>4.77777777777778</v>
      </c>
      <c r="X62" s="63"/>
      <c r="Y62" s="63"/>
      <c r="Z62" s="63"/>
      <c r="AA62" s="2"/>
      <c r="AB62" s="2"/>
      <c r="AC62" s="2"/>
      <c r="AD62" s="2"/>
      <c r="AE62" s="2"/>
      <c r="AF62" s="2"/>
      <c r="AG62" s="2"/>
    </row>
    <row r="63" s="30" customFormat="true" ht="31.5" hidden="false" customHeight="false" outlineLevel="0" collapsed="false">
      <c r="A63" s="2"/>
      <c r="B63" s="2" t="s">
        <v>388</v>
      </c>
      <c r="C63" s="32" t="s">
        <v>389</v>
      </c>
      <c r="D63" s="3" t="n">
        <v>2020</v>
      </c>
      <c r="E63" s="20" t="s">
        <v>397</v>
      </c>
      <c r="F63" s="27" t="s">
        <v>45</v>
      </c>
      <c r="G63" s="3" t="str">
        <f aca="false">'Das data'!D13</f>
        <v>M</v>
      </c>
      <c r="H63" s="3" t="s">
        <v>75</v>
      </c>
      <c r="I63" s="3" t="s">
        <v>75</v>
      </c>
      <c r="J63" s="3" t="n">
        <f aca="false">'Das data'!C13</f>
        <v>57</v>
      </c>
      <c r="K63" s="3" t="s">
        <v>75</v>
      </c>
      <c r="L63" s="3" t="s">
        <v>75</v>
      </c>
      <c r="M63" s="3" t="s">
        <v>75</v>
      </c>
      <c r="N63" s="3" t="s">
        <v>75</v>
      </c>
      <c r="O63" s="32" t="s">
        <v>75</v>
      </c>
      <c r="P63" s="3" t="s">
        <v>55</v>
      </c>
      <c r="Q63" s="3" t="s">
        <v>56</v>
      </c>
      <c r="R63" s="3" t="s">
        <v>75</v>
      </c>
      <c r="S63" s="3" t="s">
        <v>73</v>
      </c>
      <c r="T63" s="3" t="s">
        <v>75</v>
      </c>
      <c r="U63" s="3" t="s">
        <v>108</v>
      </c>
      <c r="V63" s="4" t="s">
        <v>391</v>
      </c>
      <c r="W63" s="28" t="n">
        <f aca="false">'Das data'!F13</f>
        <v>27.7008310249307</v>
      </c>
      <c r="X63" s="63"/>
      <c r="Y63" s="63"/>
      <c r="Z63" s="63"/>
      <c r="AA63" s="2"/>
      <c r="AB63" s="2"/>
      <c r="AC63" s="2"/>
      <c r="AD63" s="2"/>
      <c r="AE63" s="2"/>
      <c r="AF63" s="2"/>
      <c r="AG63" s="2"/>
    </row>
    <row r="64" s="30" customFormat="true" ht="31.5" hidden="false" customHeight="false" outlineLevel="0" collapsed="false">
      <c r="A64" s="2"/>
      <c r="B64" s="2" t="s">
        <v>388</v>
      </c>
      <c r="C64" s="32" t="s">
        <v>389</v>
      </c>
      <c r="D64" s="3" t="n">
        <v>2020</v>
      </c>
      <c r="E64" s="20" t="s">
        <v>398</v>
      </c>
      <c r="F64" s="27" t="s">
        <v>45</v>
      </c>
      <c r="G64" s="3" t="str">
        <f aca="false">'Das data'!D14</f>
        <v>M</v>
      </c>
      <c r="H64" s="3" t="s">
        <v>75</v>
      </c>
      <c r="I64" s="3" t="s">
        <v>75</v>
      </c>
      <c r="J64" s="3" t="n">
        <f aca="false">'Das data'!C14</f>
        <v>45</v>
      </c>
      <c r="K64" s="3" t="s">
        <v>75</v>
      </c>
      <c r="L64" s="3" t="s">
        <v>75</v>
      </c>
      <c r="M64" s="3" t="s">
        <v>75</v>
      </c>
      <c r="N64" s="3" t="s">
        <v>75</v>
      </c>
      <c r="O64" s="32" t="s">
        <v>75</v>
      </c>
      <c r="P64" s="3" t="s">
        <v>55</v>
      </c>
      <c r="Q64" s="3" t="s">
        <v>56</v>
      </c>
      <c r="R64" s="3" t="s">
        <v>75</v>
      </c>
      <c r="S64" s="3" t="s">
        <v>73</v>
      </c>
      <c r="T64" s="3" t="s">
        <v>75</v>
      </c>
      <c r="U64" s="3" t="s">
        <v>108</v>
      </c>
      <c r="V64" s="4" t="s">
        <v>391</v>
      </c>
      <c r="W64" s="28" t="n">
        <f aca="false">'Das data'!F14</f>
        <v>12.1363636363636</v>
      </c>
      <c r="X64" s="63"/>
      <c r="Y64" s="63"/>
      <c r="Z64" s="63"/>
      <c r="AA64" s="2"/>
      <c r="AB64" s="2"/>
      <c r="AC64" s="2"/>
      <c r="AD64" s="2"/>
      <c r="AE64" s="2"/>
      <c r="AF64" s="2"/>
      <c r="AG64" s="2"/>
    </row>
    <row r="65" s="30" customFormat="true" ht="31.5" hidden="false" customHeight="false" outlineLevel="0" collapsed="false">
      <c r="A65" s="2"/>
      <c r="B65" s="2" t="s">
        <v>388</v>
      </c>
      <c r="C65" s="32" t="s">
        <v>389</v>
      </c>
      <c r="D65" s="3" t="n">
        <v>2020</v>
      </c>
      <c r="E65" s="20" t="s">
        <v>399</v>
      </c>
      <c r="F65" s="27" t="s">
        <v>45</v>
      </c>
      <c r="G65" s="3" t="str">
        <f aca="false">'Das data'!D15</f>
        <v>M</v>
      </c>
      <c r="H65" s="3" t="s">
        <v>75</v>
      </c>
      <c r="I65" s="3" t="s">
        <v>75</v>
      </c>
      <c r="J65" s="3" t="n">
        <f aca="false">'Das data'!C15</f>
        <v>45</v>
      </c>
      <c r="K65" s="3" t="s">
        <v>75</v>
      </c>
      <c r="L65" s="3" t="s">
        <v>75</v>
      </c>
      <c r="M65" s="3" t="s">
        <v>75</v>
      </c>
      <c r="N65" s="3" t="s">
        <v>75</v>
      </c>
      <c r="O65" s="32" t="s">
        <v>75</v>
      </c>
      <c r="P65" s="3" t="s">
        <v>55</v>
      </c>
      <c r="Q65" s="3" t="s">
        <v>56</v>
      </c>
      <c r="R65" s="3" t="s">
        <v>75</v>
      </c>
      <c r="S65" s="3" t="s">
        <v>73</v>
      </c>
      <c r="T65" s="3" t="s">
        <v>75</v>
      </c>
      <c r="U65" s="3" t="s">
        <v>108</v>
      </c>
      <c r="V65" s="4" t="s">
        <v>391</v>
      </c>
      <c r="W65" s="28" t="n">
        <f aca="false">'Das data'!F15</f>
        <v>30.7</v>
      </c>
      <c r="X65" s="63"/>
      <c r="Y65" s="63"/>
      <c r="Z65" s="63"/>
      <c r="AA65" s="2"/>
      <c r="AB65" s="2"/>
      <c r="AC65" s="2"/>
      <c r="AD65" s="2"/>
      <c r="AE65" s="2"/>
      <c r="AF65" s="2"/>
      <c r="AG65" s="2"/>
    </row>
    <row r="66" s="30" customFormat="true" ht="31.5" hidden="false" customHeight="false" outlineLevel="0" collapsed="false">
      <c r="A66" s="2"/>
      <c r="B66" s="2" t="s">
        <v>388</v>
      </c>
      <c r="C66" s="32" t="s">
        <v>389</v>
      </c>
      <c r="D66" s="3" t="n">
        <v>2020</v>
      </c>
      <c r="E66" s="20" t="s">
        <v>400</v>
      </c>
      <c r="F66" s="27" t="s">
        <v>45</v>
      </c>
      <c r="G66" s="3" t="str">
        <f aca="false">'Das data'!D16</f>
        <v>L</v>
      </c>
      <c r="H66" s="3" t="s">
        <v>75</v>
      </c>
      <c r="I66" s="3" t="s">
        <v>75</v>
      </c>
      <c r="J66" s="3" t="n">
        <f aca="false">'Das data'!C16</f>
        <v>130</v>
      </c>
      <c r="K66" s="3" t="s">
        <v>75</v>
      </c>
      <c r="L66" s="3" t="s">
        <v>75</v>
      </c>
      <c r="M66" s="3" t="s">
        <v>75</v>
      </c>
      <c r="N66" s="3" t="s">
        <v>75</v>
      </c>
      <c r="O66" s="32" t="s">
        <v>75</v>
      </c>
      <c r="P66" s="3" t="s">
        <v>55</v>
      </c>
      <c r="Q66" s="3" t="s">
        <v>56</v>
      </c>
      <c r="R66" s="3" t="s">
        <v>75</v>
      </c>
      <c r="S66" s="3" t="s">
        <v>73</v>
      </c>
      <c r="T66" s="3" t="s">
        <v>75</v>
      </c>
      <c r="U66" s="3" t="s">
        <v>108</v>
      </c>
      <c r="V66" s="4" t="s">
        <v>391</v>
      </c>
      <c r="W66" s="28" t="n">
        <f aca="false">'Das data'!F16</f>
        <v>4.56</v>
      </c>
      <c r="X66" s="63"/>
      <c r="Y66" s="63"/>
      <c r="Z66" s="63"/>
      <c r="AA66" s="2"/>
      <c r="AB66" s="2"/>
      <c r="AC66" s="2"/>
      <c r="AD66" s="2"/>
      <c r="AE66" s="2"/>
      <c r="AF66" s="2"/>
      <c r="AG66" s="2"/>
    </row>
    <row r="67" s="30" customFormat="true" ht="31.5" hidden="false" customHeight="false" outlineLevel="0" collapsed="false">
      <c r="A67" s="2"/>
      <c r="B67" s="2" t="s">
        <v>388</v>
      </c>
      <c r="C67" s="32" t="s">
        <v>389</v>
      </c>
      <c r="D67" s="3" t="n">
        <v>2020</v>
      </c>
      <c r="E67" s="20" t="s">
        <v>401</v>
      </c>
      <c r="F67" s="27" t="s">
        <v>45</v>
      </c>
      <c r="G67" s="3" t="str">
        <f aca="false">'Das data'!D17</f>
        <v>L</v>
      </c>
      <c r="H67" s="3" t="s">
        <v>75</v>
      </c>
      <c r="I67" s="3" t="s">
        <v>75</v>
      </c>
      <c r="J67" s="3" t="n">
        <f aca="false">'Das data'!C17</f>
        <v>130</v>
      </c>
      <c r="K67" s="3" t="s">
        <v>75</v>
      </c>
      <c r="L67" s="3" t="s">
        <v>75</v>
      </c>
      <c r="M67" s="3" t="s">
        <v>75</v>
      </c>
      <c r="N67" s="3" t="s">
        <v>75</v>
      </c>
      <c r="O67" s="32" t="s">
        <v>75</v>
      </c>
      <c r="P67" s="3" t="s">
        <v>55</v>
      </c>
      <c r="Q67" s="3" t="s">
        <v>56</v>
      </c>
      <c r="R67" s="3" t="s">
        <v>75</v>
      </c>
      <c r="S67" s="3" t="s">
        <v>73</v>
      </c>
      <c r="T67" s="3" t="s">
        <v>75</v>
      </c>
      <c r="U67" s="3" t="s">
        <v>108</v>
      </c>
      <c r="V67" s="4" t="s">
        <v>391</v>
      </c>
      <c r="W67" s="28" t="n">
        <f aca="false">'Das data'!F17</f>
        <v>32.8060941828255</v>
      </c>
      <c r="X67" s="63"/>
      <c r="Y67" s="63"/>
      <c r="Z67" s="63"/>
      <c r="AA67" s="2"/>
      <c r="AB67" s="2"/>
      <c r="AC67" s="2"/>
      <c r="AD67" s="2"/>
      <c r="AE67" s="2"/>
      <c r="AF67" s="2"/>
      <c r="AG67" s="2"/>
    </row>
    <row r="68" s="30" customFormat="true" ht="31.5" hidden="false" customHeight="false" outlineLevel="0" collapsed="false">
      <c r="A68" s="2"/>
      <c r="B68" s="2" t="s">
        <v>388</v>
      </c>
      <c r="C68" s="32" t="s">
        <v>389</v>
      </c>
      <c r="D68" s="3" t="n">
        <v>2020</v>
      </c>
      <c r="E68" s="20" t="s">
        <v>402</v>
      </c>
      <c r="F68" s="27" t="s">
        <v>45</v>
      </c>
      <c r="G68" s="3" t="str">
        <f aca="false">'Das data'!D18</f>
        <v>L,M</v>
      </c>
      <c r="H68" s="3" t="s">
        <v>75</v>
      </c>
      <c r="I68" s="3" t="s">
        <v>75</v>
      </c>
      <c r="J68" s="3" t="str">
        <f aca="false">'Das data'!C18</f>
        <v>NA</v>
      </c>
      <c r="K68" s="3" t="s">
        <v>75</v>
      </c>
      <c r="L68" s="3" t="s">
        <v>75</v>
      </c>
      <c r="M68" s="3" t="s">
        <v>75</v>
      </c>
      <c r="N68" s="3" t="s">
        <v>75</v>
      </c>
      <c r="O68" s="32" t="s">
        <v>75</v>
      </c>
      <c r="P68" s="3" t="s">
        <v>55</v>
      </c>
      <c r="Q68" s="3" t="s">
        <v>56</v>
      </c>
      <c r="R68" s="3" t="s">
        <v>75</v>
      </c>
      <c r="S68" s="3" t="s">
        <v>73</v>
      </c>
      <c r="T68" s="3" t="s">
        <v>75</v>
      </c>
      <c r="U68" s="3" t="s">
        <v>108</v>
      </c>
      <c r="V68" s="4" t="s">
        <v>391</v>
      </c>
      <c r="W68" s="28" t="n">
        <f aca="false">'Das data'!F18</f>
        <v>38</v>
      </c>
      <c r="X68" s="63"/>
      <c r="Y68" s="63"/>
      <c r="Z68" s="63"/>
      <c r="AA68" s="2"/>
      <c r="AB68" s="2"/>
      <c r="AC68" s="2"/>
      <c r="AD68" s="2"/>
      <c r="AE68" s="2"/>
      <c r="AF68" s="2"/>
      <c r="AG68" s="2"/>
    </row>
    <row r="69" s="30" customFormat="true" ht="31.5" hidden="false" customHeight="false" outlineLevel="0" collapsed="false">
      <c r="A69" s="2"/>
      <c r="B69" s="2" t="s">
        <v>388</v>
      </c>
      <c r="C69" s="32" t="s">
        <v>389</v>
      </c>
      <c r="D69" s="3" t="n">
        <v>2020</v>
      </c>
      <c r="E69" s="20" t="s">
        <v>403</v>
      </c>
      <c r="F69" s="27" t="s">
        <v>45</v>
      </c>
      <c r="G69" s="3" t="str">
        <f aca="false">'Das data'!D19</f>
        <v>M</v>
      </c>
      <c r="H69" s="3" t="s">
        <v>75</v>
      </c>
      <c r="I69" s="3" t="s">
        <v>75</v>
      </c>
      <c r="J69" s="3" t="str">
        <f aca="false">'Das data'!C19</f>
        <v>NA</v>
      </c>
      <c r="K69" s="3" t="s">
        <v>75</v>
      </c>
      <c r="L69" s="3" t="s">
        <v>75</v>
      </c>
      <c r="M69" s="3" t="s">
        <v>75</v>
      </c>
      <c r="N69" s="3" t="s">
        <v>75</v>
      </c>
      <c r="O69" s="32" t="s">
        <v>75</v>
      </c>
      <c r="P69" s="3" t="s">
        <v>55</v>
      </c>
      <c r="Q69" s="3" t="s">
        <v>56</v>
      </c>
      <c r="R69" s="3" t="s">
        <v>75</v>
      </c>
      <c r="S69" s="3" t="s">
        <v>73</v>
      </c>
      <c r="T69" s="3" t="s">
        <v>75</v>
      </c>
      <c r="U69" s="3" t="s">
        <v>108</v>
      </c>
      <c r="V69" s="4" t="s">
        <v>391</v>
      </c>
      <c r="W69" s="28" t="n">
        <f aca="false">'Das data'!F19</f>
        <v>30</v>
      </c>
      <c r="X69" s="63"/>
      <c r="Y69" s="63"/>
      <c r="Z69" s="63"/>
      <c r="AA69" s="2"/>
      <c r="AB69" s="2"/>
      <c r="AC69" s="2"/>
      <c r="AD69" s="2"/>
      <c r="AE69" s="2"/>
      <c r="AF69" s="2"/>
      <c r="AG69" s="2"/>
    </row>
    <row r="70" s="30" customFormat="true" ht="31.5" hidden="false" customHeight="false" outlineLevel="0" collapsed="false">
      <c r="A70" s="2"/>
      <c r="B70" s="2" t="s">
        <v>388</v>
      </c>
      <c r="C70" s="32" t="s">
        <v>389</v>
      </c>
      <c r="D70" s="3" t="n">
        <v>2020</v>
      </c>
      <c r="E70" s="20" t="s">
        <v>404</v>
      </c>
      <c r="F70" s="27" t="s">
        <v>45</v>
      </c>
      <c r="G70" s="3" t="str">
        <f aca="false">'Das data'!D20</f>
        <v>M</v>
      </c>
      <c r="H70" s="3" t="s">
        <v>75</v>
      </c>
      <c r="I70" s="3" t="s">
        <v>75</v>
      </c>
      <c r="J70" s="3" t="str">
        <f aca="false">'Das data'!C20</f>
        <v>NA</v>
      </c>
      <c r="K70" s="3" t="s">
        <v>75</v>
      </c>
      <c r="L70" s="3" t="s">
        <v>75</v>
      </c>
      <c r="M70" s="3" t="s">
        <v>75</v>
      </c>
      <c r="N70" s="3" t="s">
        <v>75</v>
      </c>
      <c r="O70" s="32" t="s">
        <v>75</v>
      </c>
      <c r="P70" s="3" t="s">
        <v>55</v>
      </c>
      <c r="Q70" s="3" t="s">
        <v>56</v>
      </c>
      <c r="R70" s="3" t="s">
        <v>75</v>
      </c>
      <c r="S70" s="3" t="s">
        <v>73</v>
      </c>
      <c r="T70" s="3" t="s">
        <v>75</v>
      </c>
      <c r="U70" s="3" t="s">
        <v>108</v>
      </c>
      <c r="V70" s="4" t="s">
        <v>391</v>
      </c>
      <c r="W70" s="28" t="n">
        <f aca="false">'Das data'!F20</f>
        <v>31</v>
      </c>
      <c r="X70" s="63"/>
      <c r="Y70" s="63"/>
      <c r="Z70" s="63"/>
      <c r="AA70" s="2"/>
      <c r="AB70" s="2"/>
      <c r="AC70" s="2"/>
      <c r="AD70" s="2"/>
      <c r="AE70" s="2"/>
      <c r="AF70" s="2"/>
      <c r="AG70" s="2"/>
    </row>
    <row r="71" s="30" customFormat="true" ht="47.25" hidden="false" customHeight="false" outlineLevel="0" collapsed="false">
      <c r="A71" s="35"/>
      <c r="B71" s="35" t="s">
        <v>116</v>
      </c>
      <c r="C71" s="32" t="s">
        <v>117</v>
      </c>
      <c r="D71" s="32" t="n">
        <v>2016</v>
      </c>
      <c r="E71" s="20" t="s">
        <v>118</v>
      </c>
      <c r="F71" s="27" t="s">
        <v>45</v>
      </c>
      <c r="G71" s="32" t="s">
        <v>52</v>
      </c>
      <c r="H71" s="32" t="s">
        <v>47</v>
      </c>
      <c r="I71" s="32" t="s">
        <v>47</v>
      </c>
      <c r="J71" s="32" t="s">
        <v>75</v>
      </c>
      <c r="K71" s="32" t="s">
        <v>75</v>
      </c>
      <c r="L71" s="32" t="s">
        <v>47</v>
      </c>
      <c r="M71" s="32" t="s">
        <v>47</v>
      </c>
      <c r="N71" s="32" t="s">
        <v>47</v>
      </c>
      <c r="O71" s="32" t="s">
        <v>75</v>
      </c>
      <c r="P71" s="32" t="s">
        <v>119</v>
      </c>
      <c r="Q71" s="32" t="s">
        <v>75</v>
      </c>
      <c r="R71" s="32" t="s">
        <v>73</v>
      </c>
      <c r="S71" s="32" t="s">
        <v>114</v>
      </c>
      <c r="T71" s="32" t="s">
        <v>53</v>
      </c>
      <c r="U71" s="32" t="s">
        <v>47</v>
      </c>
      <c r="V71" s="36" t="s">
        <v>361</v>
      </c>
      <c r="W71" s="33" t="n">
        <f aca="false">'Ercan data'!E6</f>
        <v>18</v>
      </c>
      <c r="X71" s="37"/>
      <c r="Y71" s="37"/>
      <c r="Z71" s="35"/>
      <c r="AA71" s="35"/>
      <c r="AB71" s="35"/>
      <c r="AC71" s="35"/>
      <c r="AD71" s="35"/>
      <c r="AE71" s="35"/>
      <c r="AF71" s="35"/>
      <c r="AG71" s="35"/>
    </row>
    <row r="72" s="30" customFormat="true" ht="31.5" hidden="false" customHeight="false" outlineLevel="0" collapsed="false">
      <c r="A72" s="35"/>
      <c r="B72" s="35" t="s">
        <v>154</v>
      </c>
      <c r="C72" s="32" t="s">
        <v>155</v>
      </c>
      <c r="D72" s="32" t="n">
        <v>2017</v>
      </c>
      <c r="E72" s="31" t="s">
        <v>156</v>
      </c>
      <c r="F72" s="27" t="s">
        <v>45</v>
      </c>
      <c r="G72" s="32" t="s">
        <v>157</v>
      </c>
      <c r="H72" s="3" t="s">
        <v>75</v>
      </c>
      <c r="I72" s="3" t="s">
        <v>75</v>
      </c>
      <c r="J72" s="3" t="n">
        <f aca="false">'Kline data'!O6</f>
        <v>350</v>
      </c>
      <c r="K72" s="3" t="n">
        <v>200</v>
      </c>
      <c r="L72" s="3" t="s">
        <v>75</v>
      </c>
      <c r="M72" s="3" t="s">
        <v>75</v>
      </c>
      <c r="N72" s="3" t="s">
        <v>75</v>
      </c>
      <c r="O72" s="32" t="s">
        <v>75</v>
      </c>
      <c r="P72" s="3" t="s">
        <v>119</v>
      </c>
      <c r="Q72" s="3" t="s">
        <v>50</v>
      </c>
      <c r="R72" s="3" t="s">
        <v>75</v>
      </c>
      <c r="S72" s="3" t="s">
        <v>73</v>
      </c>
      <c r="T72" s="3" t="s">
        <v>75</v>
      </c>
      <c r="U72" s="3" t="s">
        <v>75</v>
      </c>
      <c r="V72" s="4" t="s">
        <v>158</v>
      </c>
      <c r="W72" s="33" t="n">
        <f aca="false">'Kline data'!Q6</f>
        <v>95.59</v>
      </c>
      <c r="X72" s="37"/>
      <c r="Y72" s="37"/>
      <c r="Z72" s="35"/>
      <c r="AA72" s="35"/>
      <c r="AB72" s="35"/>
      <c r="AC72" s="35"/>
      <c r="AD72" s="35"/>
      <c r="AE72" s="35"/>
      <c r="AF72" s="35"/>
      <c r="AG72" s="35"/>
    </row>
    <row r="73" s="30" customFormat="true" ht="31.5" hidden="false" customHeight="false" outlineLevel="0" collapsed="false">
      <c r="A73" s="35"/>
      <c r="B73" s="35" t="s">
        <v>154</v>
      </c>
      <c r="C73" s="32" t="s">
        <v>155</v>
      </c>
      <c r="D73" s="32" t="n">
        <v>2017</v>
      </c>
      <c r="E73" s="31" t="s">
        <v>159</v>
      </c>
      <c r="F73" s="27" t="s">
        <v>45</v>
      </c>
      <c r="G73" s="32" t="s">
        <v>157</v>
      </c>
      <c r="H73" s="3" t="s">
        <v>75</v>
      </c>
      <c r="I73" s="3" t="s">
        <v>75</v>
      </c>
      <c r="J73" s="3" t="n">
        <f aca="false">'Kline data'!O7</f>
        <v>250</v>
      </c>
      <c r="K73" s="3" t="n">
        <v>200</v>
      </c>
      <c r="L73" s="3" t="s">
        <v>75</v>
      </c>
      <c r="M73" s="3" t="s">
        <v>75</v>
      </c>
      <c r="N73" s="3" t="s">
        <v>75</v>
      </c>
      <c r="O73" s="32" t="s">
        <v>75</v>
      </c>
      <c r="P73" s="3" t="s">
        <v>119</v>
      </c>
      <c r="Q73" s="3" t="s">
        <v>50</v>
      </c>
      <c r="R73" s="3" t="s">
        <v>75</v>
      </c>
      <c r="S73" s="3" t="s">
        <v>73</v>
      </c>
      <c r="T73" s="3" t="s">
        <v>75</v>
      </c>
      <c r="U73" s="3" t="s">
        <v>75</v>
      </c>
      <c r="V73" s="4" t="s">
        <v>158</v>
      </c>
      <c r="W73" s="33" t="n">
        <f aca="false">'Kline data'!Q7</f>
        <v>75.78</v>
      </c>
      <c r="X73" s="37"/>
      <c r="Y73" s="37"/>
      <c r="Z73" s="35"/>
      <c r="AA73" s="35"/>
      <c r="AB73" s="35"/>
      <c r="AC73" s="35"/>
      <c r="AD73" s="35"/>
      <c r="AE73" s="35"/>
      <c r="AF73" s="35"/>
      <c r="AG73" s="35"/>
    </row>
    <row r="74" s="30" customFormat="true" ht="31.5" hidden="false" customHeight="false" outlineLevel="0" collapsed="false">
      <c r="A74" s="35"/>
      <c r="B74" s="35" t="s">
        <v>154</v>
      </c>
      <c r="C74" s="32" t="s">
        <v>155</v>
      </c>
      <c r="D74" s="32" t="n">
        <v>2017</v>
      </c>
      <c r="E74" s="31" t="s">
        <v>160</v>
      </c>
      <c r="F74" s="27" t="s">
        <v>45</v>
      </c>
      <c r="G74" s="32" t="s">
        <v>157</v>
      </c>
      <c r="H74" s="3" t="s">
        <v>75</v>
      </c>
      <c r="I74" s="3" t="s">
        <v>75</v>
      </c>
      <c r="J74" s="3" t="n">
        <f aca="false">'Kline data'!O8</f>
        <v>180</v>
      </c>
      <c r="K74" s="3" t="n">
        <v>200</v>
      </c>
      <c r="L74" s="3" t="s">
        <v>75</v>
      </c>
      <c r="M74" s="3" t="s">
        <v>75</v>
      </c>
      <c r="N74" s="3" t="s">
        <v>75</v>
      </c>
      <c r="O74" s="32" t="s">
        <v>75</v>
      </c>
      <c r="P74" s="3" t="s">
        <v>119</v>
      </c>
      <c r="Q74" s="3" t="s">
        <v>50</v>
      </c>
      <c r="R74" s="3" t="s">
        <v>75</v>
      </c>
      <c r="S74" s="3" t="s">
        <v>73</v>
      </c>
      <c r="T74" s="3" t="s">
        <v>75</v>
      </c>
      <c r="U74" s="3" t="s">
        <v>75</v>
      </c>
      <c r="V74" s="4" t="s">
        <v>158</v>
      </c>
      <c r="W74" s="33" t="n">
        <f aca="false">'Kline data'!Q8</f>
        <v>70.63</v>
      </c>
      <c r="X74" s="37"/>
      <c r="Y74" s="37"/>
      <c r="Z74" s="35"/>
      <c r="AA74" s="35"/>
      <c r="AB74" s="35"/>
      <c r="AC74" s="35"/>
      <c r="AD74" s="35"/>
      <c r="AE74" s="35"/>
      <c r="AF74" s="35"/>
      <c r="AG74" s="35"/>
    </row>
    <row r="75" s="30" customFormat="true" ht="31.5" hidden="false" customHeight="false" outlineLevel="0" collapsed="false">
      <c r="A75" s="35"/>
      <c r="B75" s="35" t="s">
        <v>154</v>
      </c>
      <c r="C75" s="32" t="s">
        <v>155</v>
      </c>
      <c r="D75" s="32" t="n">
        <v>2017</v>
      </c>
      <c r="E75" s="31" t="s">
        <v>161</v>
      </c>
      <c r="F75" s="27" t="s">
        <v>45</v>
      </c>
      <c r="G75" s="32" t="s">
        <v>157</v>
      </c>
      <c r="H75" s="3" t="s">
        <v>75</v>
      </c>
      <c r="I75" s="3" t="s">
        <v>75</v>
      </c>
      <c r="J75" s="3" t="n">
        <f aca="false">'Kline data'!O9</f>
        <v>130</v>
      </c>
      <c r="K75" s="3" t="n">
        <v>200</v>
      </c>
      <c r="L75" s="3" t="s">
        <v>75</v>
      </c>
      <c r="M75" s="3" t="s">
        <v>75</v>
      </c>
      <c r="N75" s="3" t="s">
        <v>75</v>
      </c>
      <c r="O75" s="32" t="s">
        <v>75</v>
      </c>
      <c r="P75" s="3" t="s">
        <v>119</v>
      </c>
      <c r="Q75" s="3" t="s">
        <v>50</v>
      </c>
      <c r="R75" s="3" t="s">
        <v>75</v>
      </c>
      <c r="S75" s="3" t="s">
        <v>73</v>
      </c>
      <c r="T75" s="3" t="s">
        <v>75</v>
      </c>
      <c r="U75" s="3" t="s">
        <v>75</v>
      </c>
      <c r="V75" s="4" t="s">
        <v>158</v>
      </c>
      <c r="W75" s="33" t="n">
        <f aca="false">'Kline data'!Q9</f>
        <v>55.8</v>
      </c>
      <c r="X75" s="37"/>
      <c r="Y75" s="37"/>
      <c r="Z75" s="35"/>
      <c r="AA75" s="35"/>
      <c r="AB75" s="35"/>
      <c r="AC75" s="35"/>
      <c r="AD75" s="35"/>
      <c r="AE75" s="35"/>
      <c r="AF75" s="35"/>
      <c r="AG75" s="35"/>
    </row>
    <row r="76" s="30" customFormat="true" ht="31.5" hidden="false" customHeight="false" outlineLevel="0" collapsed="false">
      <c r="A76" s="35"/>
      <c r="B76" s="35" t="s">
        <v>154</v>
      </c>
      <c r="C76" s="32" t="s">
        <v>155</v>
      </c>
      <c r="D76" s="32" t="n">
        <v>2017</v>
      </c>
      <c r="E76" s="31" t="s">
        <v>162</v>
      </c>
      <c r="F76" s="27" t="s">
        <v>45</v>
      </c>
      <c r="G76" s="32" t="s">
        <v>157</v>
      </c>
      <c r="H76" s="3" t="s">
        <v>75</v>
      </c>
      <c r="I76" s="3" t="s">
        <v>75</v>
      </c>
      <c r="J76" s="3" t="n">
        <f aca="false">'Kline data'!O10</f>
        <v>90</v>
      </c>
      <c r="K76" s="3" t="n">
        <v>200</v>
      </c>
      <c r="L76" s="3" t="s">
        <v>75</v>
      </c>
      <c r="M76" s="3" t="s">
        <v>75</v>
      </c>
      <c r="N76" s="3" t="s">
        <v>75</v>
      </c>
      <c r="O76" s="32" t="s">
        <v>75</v>
      </c>
      <c r="P76" s="3" t="s">
        <v>119</v>
      </c>
      <c r="Q76" s="3" t="s">
        <v>50</v>
      </c>
      <c r="R76" s="3" t="s">
        <v>75</v>
      </c>
      <c r="S76" s="3" t="s">
        <v>73</v>
      </c>
      <c r="T76" s="3" t="s">
        <v>75</v>
      </c>
      <c r="U76" s="3" t="s">
        <v>75</v>
      </c>
      <c r="V76" s="4" t="s">
        <v>158</v>
      </c>
      <c r="W76" s="33" t="n">
        <f aca="false">'Kline data'!Q10</f>
        <v>60.6</v>
      </c>
      <c r="X76" s="37"/>
      <c r="Y76" s="37"/>
      <c r="Z76" s="35"/>
      <c r="AA76" s="35"/>
      <c r="AB76" s="35"/>
      <c r="AC76" s="35"/>
      <c r="AD76" s="35"/>
      <c r="AE76" s="35"/>
      <c r="AF76" s="35"/>
      <c r="AG76" s="35"/>
    </row>
    <row r="77" s="30" customFormat="true" ht="31.5" hidden="false" customHeight="false" outlineLevel="0" collapsed="false">
      <c r="A77" s="35"/>
      <c r="B77" s="35" t="s">
        <v>154</v>
      </c>
      <c r="C77" s="32" t="s">
        <v>155</v>
      </c>
      <c r="D77" s="32" t="n">
        <v>2017</v>
      </c>
      <c r="E77" s="31" t="s">
        <v>163</v>
      </c>
      <c r="F77" s="27" t="s">
        <v>45</v>
      </c>
      <c r="G77" s="32" t="s">
        <v>157</v>
      </c>
      <c r="H77" s="3" t="s">
        <v>75</v>
      </c>
      <c r="I77" s="3" t="s">
        <v>75</v>
      </c>
      <c r="J77" s="3" t="n">
        <f aca="false">'Kline data'!O11</f>
        <v>65</v>
      </c>
      <c r="K77" s="3" t="n">
        <v>200</v>
      </c>
      <c r="L77" s="3" t="s">
        <v>75</v>
      </c>
      <c r="M77" s="3" t="s">
        <v>75</v>
      </c>
      <c r="N77" s="3" t="s">
        <v>75</v>
      </c>
      <c r="O77" s="32" t="s">
        <v>75</v>
      </c>
      <c r="P77" s="3" t="s">
        <v>119</v>
      </c>
      <c r="Q77" s="3" t="s">
        <v>50</v>
      </c>
      <c r="R77" s="3" t="s">
        <v>75</v>
      </c>
      <c r="S77" s="3" t="s">
        <v>73</v>
      </c>
      <c r="T77" s="3" t="s">
        <v>75</v>
      </c>
      <c r="U77" s="3" t="s">
        <v>75</v>
      </c>
      <c r="V77" s="4" t="s">
        <v>158</v>
      </c>
      <c r="W77" s="33" t="n">
        <f aca="false">'Kline data'!Q11</f>
        <v>65.66</v>
      </c>
      <c r="X77" s="37"/>
      <c r="Y77" s="37"/>
      <c r="Z77" s="35"/>
      <c r="AA77" s="35"/>
      <c r="AB77" s="35"/>
      <c r="AC77" s="35"/>
      <c r="AD77" s="35"/>
      <c r="AE77" s="35"/>
      <c r="AF77" s="35"/>
      <c r="AG77" s="35"/>
    </row>
    <row r="78" s="30" customFormat="true" ht="31.5" hidden="false" customHeight="false" outlineLevel="0" collapsed="false">
      <c r="A78" s="35"/>
      <c r="B78" s="35" t="s">
        <v>154</v>
      </c>
      <c r="C78" s="32" t="s">
        <v>155</v>
      </c>
      <c r="D78" s="32" t="n">
        <v>2017</v>
      </c>
      <c r="E78" s="31" t="s">
        <v>164</v>
      </c>
      <c r="F78" s="27" t="s">
        <v>45</v>
      </c>
      <c r="G78" s="32" t="s">
        <v>157</v>
      </c>
      <c r="H78" s="3" t="s">
        <v>75</v>
      </c>
      <c r="I78" s="3" t="s">
        <v>75</v>
      </c>
      <c r="J78" s="3" t="n">
        <f aca="false">'Kline data'!O12</f>
        <v>45</v>
      </c>
      <c r="K78" s="3" t="n">
        <v>200</v>
      </c>
      <c r="L78" s="3" t="s">
        <v>75</v>
      </c>
      <c r="M78" s="3" t="s">
        <v>75</v>
      </c>
      <c r="N78" s="3" t="s">
        <v>75</v>
      </c>
      <c r="O78" s="32" t="s">
        <v>75</v>
      </c>
      <c r="P78" s="3" t="s">
        <v>119</v>
      </c>
      <c r="Q78" s="3" t="s">
        <v>50</v>
      </c>
      <c r="R78" s="3" t="s">
        <v>75</v>
      </c>
      <c r="S78" s="3" t="s">
        <v>73</v>
      </c>
      <c r="T78" s="3" t="s">
        <v>75</v>
      </c>
      <c r="U78" s="3" t="s">
        <v>75</v>
      </c>
      <c r="V78" s="4" t="s">
        <v>158</v>
      </c>
      <c r="W78" s="33" t="n">
        <f aca="false">'Kline data'!Q12</f>
        <v>80.67</v>
      </c>
      <c r="X78" s="37"/>
      <c r="Y78" s="37"/>
      <c r="Z78" s="35"/>
      <c r="AA78" s="35"/>
      <c r="AB78" s="35"/>
      <c r="AC78" s="35"/>
      <c r="AD78" s="35"/>
      <c r="AE78" s="35"/>
      <c r="AF78" s="35"/>
      <c r="AG78" s="35"/>
    </row>
    <row r="79" s="47" customFormat="true" ht="15.75" hidden="false" customHeight="false" outlineLevel="0" collapsed="false">
      <c r="A79" s="2"/>
      <c r="B79" s="40"/>
      <c r="C79" s="41" t="s">
        <v>169</v>
      </c>
      <c r="D79" s="42"/>
      <c r="E79" s="43"/>
      <c r="F79" s="41" t="s">
        <v>169</v>
      </c>
      <c r="G79" s="42"/>
      <c r="H79" s="42"/>
      <c r="I79" s="42"/>
      <c r="J79" s="42"/>
      <c r="K79" s="42"/>
      <c r="L79" s="42"/>
      <c r="M79" s="42"/>
      <c r="N79" s="42"/>
      <c r="O79" s="42"/>
      <c r="P79" s="42"/>
      <c r="Q79" s="42"/>
      <c r="R79" s="42"/>
      <c r="S79" s="42"/>
      <c r="T79" s="42"/>
      <c r="U79" s="42"/>
      <c r="V79" s="44"/>
      <c r="W79" s="45"/>
      <c r="X79" s="46"/>
      <c r="Y79" s="46"/>
      <c r="Z79" s="40"/>
      <c r="AA79" s="40"/>
      <c r="AB79" s="40"/>
      <c r="AC79" s="40"/>
      <c r="AD79" s="40"/>
      <c r="AE79" s="40"/>
      <c r="AF79" s="40"/>
      <c r="AG79" s="40"/>
    </row>
    <row r="80" s="30" customFormat="true" ht="31.5" hidden="false" customHeight="false" outlineLevel="0" collapsed="false">
      <c r="A80" s="2"/>
      <c r="B80" s="35" t="s">
        <v>170</v>
      </c>
      <c r="C80" s="32" t="s">
        <v>171</v>
      </c>
      <c r="D80" s="3" t="n">
        <v>1983</v>
      </c>
      <c r="E80" s="20" t="s">
        <v>172</v>
      </c>
      <c r="F80" s="32" t="s">
        <v>51</v>
      </c>
      <c r="G80" s="32" t="s">
        <v>58</v>
      </c>
      <c r="H80" s="32" t="s">
        <v>47</v>
      </c>
      <c r="I80" s="32" t="s">
        <v>75</v>
      </c>
      <c r="J80" s="32" t="s">
        <v>58</v>
      </c>
      <c r="K80" s="32" t="n">
        <v>100</v>
      </c>
      <c r="L80" s="32" t="s">
        <v>75</v>
      </c>
      <c r="M80" s="32" t="s">
        <v>75</v>
      </c>
      <c r="N80" s="32" t="s">
        <v>75</v>
      </c>
      <c r="O80" s="32" t="s">
        <v>173</v>
      </c>
      <c r="P80" s="3" t="s">
        <v>174</v>
      </c>
      <c r="Q80" s="32" t="s">
        <v>75</v>
      </c>
      <c r="R80" s="32" t="s">
        <v>47</v>
      </c>
      <c r="S80" s="32" t="s">
        <v>53</v>
      </c>
      <c r="T80" s="32" t="s">
        <v>53</v>
      </c>
      <c r="U80" s="3" t="s">
        <v>47</v>
      </c>
      <c r="V80" s="4" t="s">
        <v>405</v>
      </c>
      <c r="W80" s="28" t="n">
        <f aca="false">'Plepys data'!AC5</f>
        <v>33.6144578313253</v>
      </c>
      <c r="X80" s="2"/>
      <c r="Y80" s="2"/>
      <c r="Z80" s="2"/>
      <c r="AA80" s="2"/>
      <c r="AB80" s="2"/>
      <c r="AC80" s="2"/>
      <c r="AD80" s="2"/>
      <c r="AE80" s="2"/>
      <c r="AF80" s="2"/>
      <c r="AG80" s="2"/>
    </row>
    <row r="81" s="30" customFormat="true" ht="31.5" hidden="false" customHeight="false" outlineLevel="0" collapsed="false">
      <c r="A81" s="2"/>
      <c r="B81" s="35" t="s">
        <v>170</v>
      </c>
      <c r="C81" s="32" t="s">
        <v>171</v>
      </c>
      <c r="D81" s="3" t="n">
        <v>1984</v>
      </c>
      <c r="E81" s="20" t="s">
        <v>172</v>
      </c>
      <c r="F81" s="32" t="s">
        <v>51</v>
      </c>
      <c r="G81" s="32" t="s">
        <v>58</v>
      </c>
      <c r="H81" s="32" t="s">
        <v>47</v>
      </c>
      <c r="I81" s="32" t="s">
        <v>75</v>
      </c>
      <c r="J81" s="32" t="s">
        <v>58</v>
      </c>
      <c r="K81" s="32" t="n">
        <v>200</v>
      </c>
      <c r="L81" s="32" t="s">
        <v>75</v>
      </c>
      <c r="M81" s="32" t="s">
        <v>75</v>
      </c>
      <c r="N81" s="32" t="s">
        <v>75</v>
      </c>
      <c r="O81" s="32" t="s">
        <v>48</v>
      </c>
      <c r="P81" s="3" t="s">
        <v>174</v>
      </c>
      <c r="Q81" s="32" t="s">
        <v>75</v>
      </c>
      <c r="R81" s="32" t="s">
        <v>47</v>
      </c>
      <c r="S81" s="32" t="s">
        <v>53</v>
      </c>
      <c r="T81" s="32" t="s">
        <v>53</v>
      </c>
      <c r="U81" s="3" t="s">
        <v>47</v>
      </c>
      <c r="V81" s="4" t="s">
        <v>405</v>
      </c>
      <c r="W81" s="28" t="n">
        <f aca="false">'Plepys data'!AC6</f>
        <v>35.3493975903614</v>
      </c>
      <c r="X81" s="2"/>
      <c r="Y81" s="2"/>
      <c r="Z81" s="2"/>
      <c r="AA81" s="2"/>
      <c r="AB81" s="2"/>
      <c r="AC81" s="2"/>
      <c r="AD81" s="2"/>
      <c r="AE81" s="2"/>
      <c r="AF81" s="2"/>
      <c r="AG81" s="2"/>
    </row>
    <row r="82" s="30" customFormat="true" ht="31.5" hidden="false" customHeight="false" outlineLevel="0" collapsed="false">
      <c r="A82" s="2"/>
      <c r="B82" s="35" t="s">
        <v>170</v>
      </c>
      <c r="C82" s="32" t="s">
        <v>171</v>
      </c>
      <c r="D82" s="3" t="n">
        <v>1988</v>
      </c>
      <c r="E82" s="20" t="s">
        <v>172</v>
      </c>
      <c r="F82" s="32" t="s">
        <v>51</v>
      </c>
      <c r="G82" s="32" t="s">
        <v>58</v>
      </c>
      <c r="H82" s="32" t="s">
        <v>47</v>
      </c>
      <c r="I82" s="32" t="s">
        <v>75</v>
      </c>
      <c r="J82" s="32" t="s">
        <v>58</v>
      </c>
      <c r="K82" s="32" t="n">
        <v>150</v>
      </c>
      <c r="L82" s="32" t="s">
        <v>75</v>
      </c>
      <c r="M82" s="32" t="s">
        <v>75</v>
      </c>
      <c r="N82" s="32" t="s">
        <v>75</v>
      </c>
      <c r="O82" s="32" t="s">
        <v>48</v>
      </c>
      <c r="P82" s="3" t="s">
        <v>174</v>
      </c>
      <c r="Q82" s="32" t="s">
        <v>75</v>
      </c>
      <c r="R82" s="32" t="s">
        <v>47</v>
      </c>
      <c r="S82" s="32" t="s">
        <v>53</v>
      </c>
      <c r="T82" s="32" t="s">
        <v>53</v>
      </c>
      <c r="U82" s="3" t="s">
        <v>47</v>
      </c>
      <c r="V82" s="4" t="s">
        <v>405</v>
      </c>
      <c r="W82" s="28" t="n">
        <f aca="false">'Plepys data'!AC7</f>
        <v>20.1686746987952</v>
      </c>
      <c r="X82" s="2"/>
      <c r="Y82" s="2"/>
      <c r="Z82" s="2"/>
      <c r="AA82" s="2"/>
      <c r="AB82" s="2"/>
      <c r="AC82" s="2"/>
      <c r="AD82" s="2"/>
      <c r="AE82" s="2"/>
      <c r="AF82" s="2"/>
      <c r="AG82" s="2"/>
    </row>
    <row r="83" s="30" customFormat="true" ht="31.5" hidden="false" customHeight="false" outlineLevel="0" collapsed="false">
      <c r="A83" s="2"/>
      <c r="B83" s="35" t="s">
        <v>170</v>
      </c>
      <c r="C83" s="32" t="s">
        <v>171</v>
      </c>
      <c r="D83" s="3" t="n">
        <v>1993</v>
      </c>
      <c r="E83" s="20" t="s">
        <v>172</v>
      </c>
      <c r="F83" s="32" t="s">
        <v>51</v>
      </c>
      <c r="G83" s="32" t="s">
        <v>58</v>
      </c>
      <c r="H83" s="32" t="s">
        <v>47</v>
      </c>
      <c r="I83" s="32" t="s">
        <v>75</v>
      </c>
      <c r="J83" s="32" t="s">
        <v>58</v>
      </c>
      <c r="K83" s="32" t="n">
        <v>150</v>
      </c>
      <c r="L83" s="32" t="s">
        <v>75</v>
      </c>
      <c r="M83" s="32" t="s">
        <v>75</v>
      </c>
      <c r="N83" s="32" t="s">
        <v>75</v>
      </c>
      <c r="O83" s="32" t="s">
        <v>48</v>
      </c>
      <c r="P83" s="3" t="s">
        <v>174</v>
      </c>
      <c r="Q83" s="32" t="s">
        <v>75</v>
      </c>
      <c r="R83" s="32" t="s">
        <v>47</v>
      </c>
      <c r="S83" s="32" t="s">
        <v>53</v>
      </c>
      <c r="T83" s="32" t="s">
        <v>53</v>
      </c>
      <c r="U83" s="3" t="s">
        <v>47</v>
      </c>
      <c r="V83" s="4" t="s">
        <v>405</v>
      </c>
      <c r="W83" s="28" t="n">
        <f aca="false">'Plepys data'!AC8</f>
        <v>14.421686746988</v>
      </c>
      <c r="X83" s="2"/>
      <c r="Y83" s="2"/>
      <c r="Z83" s="2"/>
      <c r="AA83" s="2"/>
      <c r="AB83" s="2"/>
      <c r="AC83" s="2"/>
      <c r="AD83" s="2"/>
      <c r="AE83" s="2"/>
      <c r="AF83" s="2"/>
      <c r="AG83" s="2"/>
    </row>
    <row r="84" s="30" customFormat="true" ht="31.5" hidden="false" customHeight="false" outlineLevel="0" collapsed="false">
      <c r="A84" s="2"/>
      <c r="B84" s="35" t="s">
        <v>170</v>
      </c>
      <c r="C84" s="32" t="s">
        <v>171</v>
      </c>
      <c r="D84" s="3" t="n">
        <v>1993</v>
      </c>
      <c r="E84" s="20" t="s">
        <v>172</v>
      </c>
      <c r="F84" s="32" t="s">
        <v>51</v>
      </c>
      <c r="G84" s="32" t="s">
        <v>58</v>
      </c>
      <c r="H84" s="32" t="s">
        <v>47</v>
      </c>
      <c r="I84" s="32" t="s">
        <v>75</v>
      </c>
      <c r="J84" s="32" t="s">
        <v>58</v>
      </c>
      <c r="K84" s="32" t="n">
        <v>150</v>
      </c>
      <c r="L84" s="32" t="s">
        <v>75</v>
      </c>
      <c r="M84" s="32" t="s">
        <v>75</v>
      </c>
      <c r="N84" s="32" t="s">
        <v>75</v>
      </c>
      <c r="O84" s="32" t="s">
        <v>48</v>
      </c>
      <c r="P84" s="3" t="s">
        <v>174</v>
      </c>
      <c r="Q84" s="32" t="s">
        <v>75</v>
      </c>
      <c r="R84" s="32" t="s">
        <v>47</v>
      </c>
      <c r="S84" s="32" t="s">
        <v>53</v>
      </c>
      <c r="T84" s="32" t="s">
        <v>53</v>
      </c>
      <c r="U84" s="3" t="s">
        <v>47</v>
      </c>
      <c r="V84" s="4" t="s">
        <v>405</v>
      </c>
      <c r="W84" s="28" t="n">
        <f aca="false">'Plepys data'!AC9</f>
        <v>17.7831325301205</v>
      </c>
      <c r="X84" s="2"/>
      <c r="Y84" s="2"/>
      <c r="Z84" s="2"/>
      <c r="AA84" s="2"/>
      <c r="AB84" s="2"/>
      <c r="AC84" s="2"/>
      <c r="AD84" s="2"/>
      <c r="AE84" s="2"/>
      <c r="AF84" s="2"/>
      <c r="AG84" s="2"/>
    </row>
    <row r="85" s="30" customFormat="true" ht="31.5" hidden="false" customHeight="false" outlineLevel="0" collapsed="false">
      <c r="A85" s="2"/>
      <c r="B85" s="35" t="s">
        <v>170</v>
      </c>
      <c r="C85" s="32" t="s">
        <v>171</v>
      </c>
      <c r="D85" s="3" t="n">
        <v>1994</v>
      </c>
      <c r="E85" s="20" t="s">
        <v>172</v>
      </c>
      <c r="F85" s="32" t="s">
        <v>51</v>
      </c>
      <c r="G85" s="32" t="s">
        <v>58</v>
      </c>
      <c r="H85" s="32" t="s">
        <v>47</v>
      </c>
      <c r="I85" s="32" t="s">
        <v>75</v>
      </c>
      <c r="J85" s="32" t="s">
        <v>58</v>
      </c>
      <c r="K85" s="32" t="n">
        <v>150</v>
      </c>
      <c r="L85" s="32" t="s">
        <v>75</v>
      </c>
      <c r="M85" s="32" t="s">
        <v>75</v>
      </c>
      <c r="N85" s="32" t="s">
        <v>75</v>
      </c>
      <c r="O85" s="32" t="s">
        <v>48</v>
      </c>
      <c r="P85" s="3" t="s">
        <v>174</v>
      </c>
      <c r="Q85" s="32" t="s">
        <v>75</v>
      </c>
      <c r="R85" s="32" t="s">
        <v>47</v>
      </c>
      <c r="S85" s="32" t="s">
        <v>53</v>
      </c>
      <c r="T85" s="32" t="s">
        <v>53</v>
      </c>
      <c r="U85" s="3" t="s">
        <v>47</v>
      </c>
      <c r="V85" s="4" t="s">
        <v>405</v>
      </c>
      <c r="W85" s="28" t="n">
        <f aca="false">'Plepys data'!AC10</f>
        <v>16.5903614457831</v>
      </c>
      <c r="X85" s="2"/>
      <c r="Y85" s="2"/>
      <c r="Z85" s="2"/>
      <c r="AA85" s="2"/>
      <c r="AB85" s="2"/>
      <c r="AC85" s="2"/>
      <c r="AD85" s="2"/>
      <c r="AE85" s="2"/>
      <c r="AF85" s="2"/>
      <c r="AG85" s="2"/>
    </row>
    <row r="86" s="30" customFormat="true" ht="31.5" hidden="false" customHeight="false" outlineLevel="0" collapsed="false">
      <c r="A86" s="2"/>
      <c r="B86" s="35" t="s">
        <v>170</v>
      </c>
      <c r="C86" s="32" t="s">
        <v>171</v>
      </c>
      <c r="D86" s="3" t="n">
        <v>1994</v>
      </c>
      <c r="E86" s="20" t="s">
        <v>172</v>
      </c>
      <c r="F86" s="32" t="s">
        <v>51</v>
      </c>
      <c r="G86" s="32" t="s">
        <v>58</v>
      </c>
      <c r="H86" s="32" t="s">
        <v>47</v>
      </c>
      <c r="I86" s="32" t="s">
        <v>75</v>
      </c>
      <c r="J86" s="32" t="s">
        <v>58</v>
      </c>
      <c r="K86" s="32" t="n">
        <v>150</v>
      </c>
      <c r="L86" s="32" t="s">
        <v>75</v>
      </c>
      <c r="M86" s="32" t="s">
        <v>75</v>
      </c>
      <c r="N86" s="32" t="s">
        <v>75</v>
      </c>
      <c r="O86" s="32" t="s">
        <v>59</v>
      </c>
      <c r="P86" s="3" t="s">
        <v>174</v>
      </c>
      <c r="Q86" s="32" t="s">
        <v>75</v>
      </c>
      <c r="R86" s="32" t="s">
        <v>47</v>
      </c>
      <c r="S86" s="32" t="s">
        <v>53</v>
      </c>
      <c r="T86" s="32" t="s">
        <v>53</v>
      </c>
      <c r="U86" s="3" t="s">
        <v>47</v>
      </c>
      <c r="V86" s="4" t="s">
        <v>405</v>
      </c>
      <c r="W86" s="28" t="n">
        <f aca="false">'Plepys data'!AC11</f>
        <v>10.4096385542169</v>
      </c>
      <c r="X86" s="2"/>
      <c r="Y86" s="2"/>
      <c r="Z86" s="2"/>
      <c r="AA86" s="2"/>
      <c r="AB86" s="2"/>
      <c r="AC86" s="2"/>
      <c r="AD86" s="2"/>
      <c r="AE86" s="2"/>
      <c r="AF86" s="2"/>
      <c r="AG86" s="2"/>
    </row>
    <row r="87" s="30" customFormat="true" ht="31.5" hidden="false" customHeight="false" outlineLevel="0" collapsed="false">
      <c r="A87" s="2"/>
      <c r="B87" s="35" t="s">
        <v>170</v>
      </c>
      <c r="C87" s="32" t="s">
        <v>171</v>
      </c>
      <c r="D87" s="3" t="n">
        <v>1995</v>
      </c>
      <c r="E87" s="20" t="s">
        <v>172</v>
      </c>
      <c r="F87" s="32" t="s">
        <v>51</v>
      </c>
      <c r="G87" s="32" t="s">
        <v>58</v>
      </c>
      <c r="H87" s="32" t="s">
        <v>47</v>
      </c>
      <c r="I87" s="32" t="s">
        <v>75</v>
      </c>
      <c r="J87" s="32" t="s">
        <v>58</v>
      </c>
      <c r="K87" s="32" t="s">
        <v>75</v>
      </c>
      <c r="L87" s="32" t="s">
        <v>75</v>
      </c>
      <c r="M87" s="32" t="s">
        <v>75</v>
      </c>
      <c r="N87" s="32" t="s">
        <v>75</v>
      </c>
      <c r="O87" s="32" t="s">
        <v>64</v>
      </c>
      <c r="P87" s="3" t="s">
        <v>174</v>
      </c>
      <c r="Q87" s="32" t="s">
        <v>75</v>
      </c>
      <c r="R87" s="32" t="s">
        <v>47</v>
      </c>
      <c r="S87" s="32" t="s">
        <v>53</v>
      </c>
      <c r="T87" s="32" t="s">
        <v>53</v>
      </c>
      <c r="U87" s="3" t="s">
        <v>47</v>
      </c>
      <c r="V87" s="4" t="s">
        <v>405</v>
      </c>
      <c r="W87" s="28" t="n">
        <f aca="false">'Plepys data'!AC12</f>
        <v>15.6144578313253</v>
      </c>
      <c r="X87" s="2"/>
      <c r="Y87" s="2"/>
      <c r="Z87" s="2"/>
      <c r="AA87" s="2"/>
      <c r="AB87" s="2"/>
      <c r="AC87" s="2"/>
      <c r="AD87" s="2"/>
      <c r="AE87" s="2"/>
      <c r="AF87" s="2"/>
      <c r="AG87" s="2"/>
    </row>
    <row r="88" s="30" customFormat="true" ht="31.5" hidden="false" customHeight="false" outlineLevel="0" collapsed="false">
      <c r="A88" s="2"/>
      <c r="B88" s="35" t="s">
        <v>170</v>
      </c>
      <c r="C88" s="32" t="s">
        <v>171</v>
      </c>
      <c r="D88" s="3" t="n">
        <v>1995</v>
      </c>
      <c r="E88" s="20" t="s">
        <v>172</v>
      </c>
      <c r="F88" s="32" t="s">
        <v>51</v>
      </c>
      <c r="G88" s="32" t="s">
        <v>58</v>
      </c>
      <c r="H88" s="32" t="s">
        <v>47</v>
      </c>
      <c r="I88" s="32" t="s">
        <v>75</v>
      </c>
      <c r="J88" s="32" t="s">
        <v>58</v>
      </c>
      <c r="K88" s="32" t="s">
        <v>75</v>
      </c>
      <c r="L88" s="32" t="s">
        <v>75</v>
      </c>
      <c r="M88" s="32" t="s">
        <v>75</v>
      </c>
      <c r="N88" s="32" t="s">
        <v>75</v>
      </c>
      <c r="O88" s="32" t="s">
        <v>64</v>
      </c>
      <c r="P88" s="3" t="s">
        <v>174</v>
      </c>
      <c r="Q88" s="32" t="s">
        <v>75</v>
      </c>
      <c r="R88" s="32" t="s">
        <v>47</v>
      </c>
      <c r="S88" s="32" t="s">
        <v>53</v>
      </c>
      <c r="T88" s="32" t="s">
        <v>53</v>
      </c>
      <c r="U88" s="3" t="s">
        <v>47</v>
      </c>
      <c r="V88" s="4" t="s">
        <v>405</v>
      </c>
      <c r="W88" s="28" t="n">
        <f aca="false">'Plepys data'!AC13</f>
        <v>15.289156626506</v>
      </c>
      <c r="X88" s="2"/>
      <c r="Y88" s="2"/>
      <c r="Z88" s="2"/>
      <c r="AA88" s="2"/>
      <c r="AB88" s="2"/>
      <c r="AC88" s="2"/>
      <c r="AD88" s="2"/>
      <c r="AE88" s="2"/>
      <c r="AF88" s="2"/>
      <c r="AG88" s="2"/>
    </row>
    <row r="89" s="30" customFormat="true" ht="31.5" hidden="false" customHeight="false" outlineLevel="0" collapsed="false">
      <c r="A89" s="2"/>
      <c r="B89" s="35" t="s">
        <v>170</v>
      </c>
      <c r="C89" s="32" t="s">
        <v>171</v>
      </c>
      <c r="D89" s="3" t="n">
        <v>1997</v>
      </c>
      <c r="E89" s="20" t="s">
        <v>172</v>
      </c>
      <c r="F89" s="32" t="s">
        <v>51</v>
      </c>
      <c r="G89" s="32" t="s">
        <v>58</v>
      </c>
      <c r="H89" s="32" t="s">
        <v>47</v>
      </c>
      <c r="I89" s="32" t="s">
        <v>75</v>
      </c>
      <c r="J89" s="32" t="s">
        <v>58</v>
      </c>
      <c r="K89" s="32" t="n">
        <v>150</v>
      </c>
      <c r="L89" s="32" t="s">
        <v>75</v>
      </c>
      <c r="M89" s="32" t="s">
        <v>75</v>
      </c>
      <c r="N89" s="32" t="s">
        <v>75</v>
      </c>
      <c r="O89" s="32" t="s">
        <v>59</v>
      </c>
      <c r="P89" s="3" t="s">
        <v>174</v>
      </c>
      <c r="Q89" s="32" t="s">
        <v>75</v>
      </c>
      <c r="R89" s="32" t="s">
        <v>47</v>
      </c>
      <c r="S89" s="32" t="s">
        <v>53</v>
      </c>
      <c r="T89" s="32" t="s">
        <v>53</v>
      </c>
      <c r="U89" s="3" t="s">
        <v>47</v>
      </c>
      <c r="V89" s="4" t="s">
        <v>405</v>
      </c>
      <c r="W89" s="28" t="n">
        <f aca="false">'Plepys data'!AC14</f>
        <v>5.53012048192771</v>
      </c>
      <c r="X89" s="2"/>
      <c r="Y89" s="2"/>
      <c r="Z89" s="2"/>
      <c r="AA89" s="2"/>
      <c r="AB89" s="2"/>
      <c r="AC89" s="2"/>
      <c r="AD89" s="2"/>
      <c r="AE89" s="2"/>
      <c r="AF89" s="2"/>
      <c r="AG89" s="2"/>
    </row>
    <row r="90" s="30" customFormat="true" ht="31.5" hidden="false" customHeight="false" outlineLevel="0" collapsed="false">
      <c r="A90" s="2"/>
      <c r="B90" s="35" t="s">
        <v>170</v>
      </c>
      <c r="C90" s="32" t="s">
        <v>171</v>
      </c>
      <c r="D90" s="3" t="n">
        <v>1997</v>
      </c>
      <c r="E90" s="20" t="s">
        <v>172</v>
      </c>
      <c r="F90" s="32" t="s">
        <v>51</v>
      </c>
      <c r="G90" s="32" t="s">
        <v>58</v>
      </c>
      <c r="H90" s="32" t="s">
        <v>47</v>
      </c>
      <c r="I90" s="32" t="s">
        <v>75</v>
      </c>
      <c r="J90" s="32" t="s">
        <v>58</v>
      </c>
      <c r="K90" s="32" t="n">
        <v>150</v>
      </c>
      <c r="L90" s="32" t="s">
        <v>75</v>
      </c>
      <c r="M90" s="32" t="s">
        <v>75</v>
      </c>
      <c r="N90" s="32" t="s">
        <v>75</v>
      </c>
      <c r="O90" s="32" t="s">
        <v>59</v>
      </c>
      <c r="P90" s="3" t="s">
        <v>174</v>
      </c>
      <c r="Q90" s="32" t="s">
        <v>75</v>
      </c>
      <c r="R90" s="32" t="s">
        <v>47</v>
      </c>
      <c r="S90" s="32" t="s">
        <v>53</v>
      </c>
      <c r="T90" s="32" t="s">
        <v>53</v>
      </c>
      <c r="U90" s="3" t="s">
        <v>47</v>
      </c>
      <c r="V90" s="4" t="s">
        <v>405</v>
      </c>
      <c r="W90" s="28" t="n">
        <f aca="false">'Plepys data'!AC15</f>
        <v>9.75903614457831</v>
      </c>
      <c r="X90" s="2"/>
      <c r="Y90" s="2"/>
      <c r="Z90" s="2"/>
      <c r="AA90" s="2"/>
      <c r="AB90" s="2"/>
      <c r="AC90" s="2"/>
      <c r="AD90" s="2"/>
      <c r="AE90" s="2"/>
      <c r="AF90" s="2"/>
      <c r="AG90" s="2"/>
    </row>
    <row r="91" s="30" customFormat="true" ht="31.5" hidden="false" customHeight="false" outlineLevel="0" collapsed="false">
      <c r="A91" s="2"/>
      <c r="B91" s="35" t="s">
        <v>170</v>
      </c>
      <c r="C91" s="32" t="s">
        <v>171</v>
      </c>
      <c r="D91" s="3" t="n">
        <v>1997</v>
      </c>
      <c r="E91" s="20" t="s">
        <v>172</v>
      </c>
      <c r="F91" s="32" t="s">
        <v>51</v>
      </c>
      <c r="G91" s="32" t="s">
        <v>58</v>
      </c>
      <c r="H91" s="32" t="s">
        <v>47</v>
      </c>
      <c r="I91" s="32" t="s">
        <v>75</v>
      </c>
      <c r="J91" s="32" t="s">
        <v>58</v>
      </c>
      <c r="K91" s="32" t="n">
        <v>200</v>
      </c>
      <c r="L91" s="32" t="s">
        <v>75</v>
      </c>
      <c r="M91" s="32" t="s">
        <v>75</v>
      </c>
      <c r="N91" s="32" t="s">
        <v>75</v>
      </c>
      <c r="O91" s="32" t="s">
        <v>48</v>
      </c>
      <c r="P91" s="3" t="s">
        <v>174</v>
      </c>
      <c r="Q91" s="32" t="s">
        <v>75</v>
      </c>
      <c r="R91" s="32" t="s">
        <v>47</v>
      </c>
      <c r="S91" s="32" t="s">
        <v>53</v>
      </c>
      <c r="T91" s="32" t="s">
        <v>53</v>
      </c>
      <c r="U91" s="3" t="s">
        <v>47</v>
      </c>
      <c r="V91" s="4" t="s">
        <v>405</v>
      </c>
      <c r="W91" s="28" t="n">
        <f aca="false">'Plepys data'!AC16</f>
        <v>15.1807228915663</v>
      </c>
      <c r="X91" s="2"/>
      <c r="Y91" s="2"/>
      <c r="Z91" s="2"/>
      <c r="AA91" s="2"/>
      <c r="AB91" s="2"/>
      <c r="AC91" s="2"/>
      <c r="AD91" s="2"/>
      <c r="AE91" s="2"/>
      <c r="AF91" s="2"/>
      <c r="AG91" s="2"/>
    </row>
    <row r="92" s="30" customFormat="true" ht="31.5" hidden="false" customHeight="false" outlineLevel="0" collapsed="false">
      <c r="A92" s="2"/>
      <c r="B92" s="35" t="s">
        <v>170</v>
      </c>
      <c r="C92" s="32" t="s">
        <v>171</v>
      </c>
      <c r="D92" s="3" t="n">
        <v>1997</v>
      </c>
      <c r="E92" s="20" t="s">
        <v>172</v>
      </c>
      <c r="F92" s="32" t="s">
        <v>51</v>
      </c>
      <c r="G92" s="32" t="s">
        <v>58</v>
      </c>
      <c r="H92" s="32" t="s">
        <v>47</v>
      </c>
      <c r="I92" s="32" t="s">
        <v>75</v>
      </c>
      <c r="J92" s="32" t="s">
        <v>58</v>
      </c>
      <c r="K92" s="32" t="n">
        <v>200</v>
      </c>
      <c r="L92" s="32" t="s">
        <v>75</v>
      </c>
      <c r="M92" s="32" t="s">
        <v>75</v>
      </c>
      <c r="N92" s="32" t="s">
        <v>75</v>
      </c>
      <c r="O92" s="32" t="s">
        <v>48</v>
      </c>
      <c r="P92" s="3" t="s">
        <v>174</v>
      </c>
      <c r="Q92" s="32" t="s">
        <v>75</v>
      </c>
      <c r="R92" s="32" t="s">
        <v>47</v>
      </c>
      <c r="S92" s="32" t="s">
        <v>53</v>
      </c>
      <c r="T92" s="32" t="s">
        <v>53</v>
      </c>
      <c r="U92" s="3" t="s">
        <v>47</v>
      </c>
      <c r="V92" s="4" t="s">
        <v>405</v>
      </c>
      <c r="W92" s="28" t="n">
        <f aca="false">'Plepys data'!AC17</f>
        <v>19.1927710843373</v>
      </c>
      <c r="X92" s="2"/>
      <c r="Y92" s="2"/>
      <c r="Z92" s="2"/>
      <c r="AA92" s="2"/>
      <c r="AB92" s="2"/>
      <c r="AC92" s="2"/>
      <c r="AD92" s="2"/>
      <c r="AE92" s="2"/>
      <c r="AF92" s="2"/>
      <c r="AG92" s="2"/>
    </row>
    <row r="93" s="30" customFormat="true" ht="31.5" hidden="false" customHeight="false" outlineLevel="0" collapsed="false">
      <c r="A93" s="2"/>
      <c r="B93" s="35" t="s">
        <v>170</v>
      </c>
      <c r="C93" s="32" t="s">
        <v>171</v>
      </c>
      <c r="D93" s="3" t="n">
        <v>1997</v>
      </c>
      <c r="E93" s="20" t="s">
        <v>172</v>
      </c>
      <c r="F93" s="32" t="s">
        <v>51</v>
      </c>
      <c r="G93" s="32" t="s">
        <v>58</v>
      </c>
      <c r="H93" s="32" t="s">
        <v>47</v>
      </c>
      <c r="I93" s="32" t="s">
        <v>75</v>
      </c>
      <c r="J93" s="32" t="s">
        <v>58</v>
      </c>
      <c r="K93" s="32" t="s">
        <v>75</v>
      </c>
      <c r="L93" s="32" t="s">
        <v>75</v>
      </c>
      <c r="M93" s="32" t="s">
        <v>75</v>
      </c>
      <c r="N93" s="32" t="s">
        <v>75</v>
      </c>
      <c r="O93" s="32" t="s">
        <v>48</v>
      </c>
      <c r="P93" s="3" t="s">
        <v>174</v>
      </c>
      <c r="Q93" s="32" t="s">
        <v>75</v>
      </c>
      <c r="R93" s="32" t="s">
        <v>47</v>
      </c>
      <c r="S93" s="32" t="s">
        <v>53</v>
      </c>
      <c r="T93" s="32" t="s">
        <v>53</v>
      </c>
      <c r="U93" s="3" t="s">
        <v>47</v>
      </c>
      <c r="V93" s="4" t="s">
        <v>405</v>
      </c>
      <c r="W93" s="28" t="n">
        <f aca="false">'Plepys data'!AC18</f>
        <v>8.67469879518072</v>
      </c>
      <c r="X93" s="2"/>
      <c r="Y93" s="2"/>
      <c r="Z93" s="2"/>
      <c r="AA93" s="2"/>
      <c r="AB93" s="2"/>
      <c r="AC93" s="2"/>
      <c r="AD93" s="2"/>
      <c r="AE93" s="2"/>
      <c r="AF93" s="2"/>
      <c r="AG93" s="2"/>
    </row>
    <row r="94" s="30" customFormat="true" ht="31.5" hidden="false" customHeight="false" outlineLevel="0" collapsed="false">
      <c r="A94" s="2"/>
      <c r="B94" s="35" t="s">
        <v>170</v>
      </c>
      <c r="C94" s="32" t="s">
        <v>171</v>
      </c>
      <c r="D94" s="3" t="n">
        <v>1997</v>
      </c>
      <c r="E94" s="20" t="s">
        <v>172</v>
      </c>
      <c r="F94" s="32" t="s">
        <v>51</v>
      </c>
      <c r="G94" s="32" t="s">
        <v>58</v>
      </c>
      <c r="H94" s="32" t="s">
        <v>47</v>
      </c>
      <c r="I94" s="32" t="s">
        <v>75</v>
      </c>
      <c r="J94" s="32" t="s">
        <v>58</v>
      </c>
      <c r="K94" s="32" t="s">
        <v>75</v>
      </c>
      <c r="L94" s="32" t="s">
        <v>75</v>
      </c>
      <c r="M94" s="32" t="s">
        <v>75</v>
      </c>
      <c r="N94" s="32" t="s">
        <v>75</v>
      </c>
      <c r="O94" s="32" t="s">
        <v>48</v>
      </c>
      <c r="P94" s="3" t="s">
        <v>174</v>
      </c>
      <c r="Q94" s="32" t="s">
        <v>75</v>
      </c>
      <c r="R94" s="32" t="s">
        <v>47</v>
      </c>
      <c r="S94" s="32" t="s">
        <v>53</v>
      </c>
      <c r="T94" s="32" t="s">
        <v>53</v>
      </c>
      <c r="U94" s="3" t="s">
        <v>47</v>
      </c>
      <c r="V94" s="4" t="s">
        <v>405</v>
      </c>
      <c r="W94" s="28" t="n">
        <f aca="false">'Plepys data'!AC19</f>
        <v>17.3493975903614</v>
      </c>
      <c r="X94" s="2"/>
      <c r="Y94" s="2"/>
      <c r="Z94" s="2"/>
      <c r="AA94" s="2"/>
      <c r="AB94" s="2"/>
      <c r="AC94" s="2"/>
      <c r="AD94" s="2"/>
      <c r="AE94" s="2"/>
      <c r="AF94" s="2"/>
      <c r="AG94" s="2"/>
    </row>
    <row r="95" s="30" customFormat="true" ht="31.5" hidden="false" customHeight="false" outlineLevel="0" collapsed="false">
      <c r="A95" s="2"/>
      <c r="B95" s="35" t="s">
        <v>170</v>
      </c>
      <c r="C95" s="32" t="s">
        <v>171</v>
      </c>
      <c r="D95" s="3" t="n">
        <v>1998</v>
      </c>
      <c r="E95" s="20" t="s">
        <v>172</v>
      </c>
      <c r="F95" s="32" t="s">
        <v>51</v>
      </c>
      <c r="G95" s="32" t="s">
        <v>58</v>
      </c>
      <c r="H95" s="32" t="s">
        <v>47</v>
      </c>
      <c r="I95" s="32" t="s">
        <v>75</v>
      </c>
      <c r="J95" s="32" t="s">
        <v>58</v>
      </c>
      <c r="K95" s="32" t="s">
        <v>75</v>
      </c>
      <c r="L95" s="32" t="s">
        <v>75</v>
      </c>
      <c r="M95" s="32" t="s">
        <v>75</v>
      </c>
      <c r="N95" s="32" t="s">
        <v>75</v>
      </c>
      <c r="O95" s="32" t="s">
        <v>48</v>
      </c>
      <c r="P95" s="3" t="s">
        <v>174</v>
      </c>
      <c r="Q95" s="32" t="s">
        <v>75</v>
      </c>
      <c r="R95" s="32" t="s">
        <v>47</v>
      </c>
      <c r="S95" s="32" t="s">
        <v>53</v>
      </c>
      <c r="T95" s="32" t="s">
        <v>53</v>
      </c>
      <c r="U95" s="3" t="s">
        <v>47</v>
      </c>
      <c r="V95" s="4" t="s">
        <v>405</v>
      </c>
      <c r="W95" s="28" t="n">
        <f aca="false">'Plepys data'!AC20</f>
        <v>12.4698795180723</v>
      </c>
      <c r="X95" s="2"/>
      <c r="Y95" s="2"/>
      <c r="Z95" s="2"/>
      <c r="AA95" s="2"/>
      <c r="AB95" s="2"/>
      <c r="AC95" s="2"/>
      <c r="AD95" s="2"/>
      <c r="AE95" s="2"/>
      <c r="AF95" s="2"/>
      <c r="AG95" s="2"/>
    </row>
    <row r="96" s="30" customFormat="true" ht="31.5" hidden="false" customHeight="false" outlineLevel="0" collapsed="false">
      <c r="A96" s="2"/>
      <c r="B96" s="35" t="s">
        <v>170</v>
      </c>
      <c r="C96" s="32" t="s">
        <v>171</v>
      </c>
      <c r="D96" s="3" t="n">
        <v>1998</v>
      </c>
      <c r="E96" s="20" t="s">
        <v>172</v>
      </c>
      <c r="F96" s="32" t="s">
        <v>51</v>
      </c>
      <c r="G96" s="32" t="s">
        <v>58</v>
      </c>
      <c r="H96" s="32" t="s">
        <v>47</v>
      </c>
      <c r="I96" s="32" t="s">
        <v>75</v>
      </c>
      <c r="J96" s="32" t="s">
        <v>58</v>
      </c>
      <c r="K96" s="32" t="n">
        <v>200</v>
      </c>
      <c r="L96" s="32" t="s">
        <v>75</v>
      </c>
      <c r="M96" s="32" t="s">
        <v>75</v>
      </c>
      <c r="N96" s="32" t="s">
        <v>75</v>
      </c>
      <c r="O96" s="32" t="s">
        <v>65</v>
      </c>
      <c r="P96" s="3" t="s">
        <v>174</v>
      </c>
      <c r="Q96" s="32" t="s">
        <v>75</v>
      </c>
      <c r="R96" s="32" t="s">
        <v>47</v>
      </c>
      <c r="S96" s="32" t="s">
        <v>53</v>
      </c>
      <c r="T96" s="32" t="s">
        <v>53</v>
      </c>
      <c r="U96" s="3" t="s">
        <v>47</v>
      </c>
      <c r="V96" s="4" t="s">
        <v>405</v>
      </c>
      <c r="W96" s="28" t="n">
        <f aca="false">'Plepys data'!AC21</f>
        <v>16.9156626506024</v>
      </c>
      <c r="X96" s="2"/>
      <c r="Y96" s="2"/>
      <c r="Z96" s="2"/>
      <c r="AA96" s="2"/>
      <c r="AB96" s="2"/>
      <c r="AC96" s="2"/>
      <c r="AD96" s="2"/>
      <c r="AE96" s="2"/>
      <c r="AF96" s="2"/>
      <c r="AG96" s="2"/>
    </row>
    <row r="97" s="30" customFormat="true" ht="31.5" hidden="false" customHeight="false" outlineLevel="0" collapsed="false">
      <c r="A97" s="2"/>
      <c r="B97" s="35" t="s">
        <v>170</v>
      </c>
      <c r="C97" s="32" t="s">
        <v>171</v>
      </c>
      <c r="D97" s="3" t="n">
        <v>1996</v>
      </c>
      <c r="E97" s="20" t="s">
        <v>172</v>
      </c>
      <c r="F97" s="32" t="s">
        <v>51</v>
      </c>
      <c r="G97" s="32" t="s">
        <v>58</v>
      </c>
      <c r="H97" s="32" t="s">
        <v>47</v>
      </c>
      <c r="I97" s="32" t="s">
        <v>75</v>
      </c>
      <c r="J97" s="32" t="s">
        <v>58</v>
      </c>
      <c r="K97" s="32" t="n">
        <v>200</v>
      </c>
      <c r="L97" s="32" t="s">
        <v>75</v>
      </c>
      <c r="M97" s="32" t="s">
        <v>75</v>
      </c>
      <c r="N97" s="32" t="s">
        <v>75</v>
      </c>
      <c r="O97" s="32" t="s">
        <v>48</v>
      </c>
      <c r="P97" s="3" t="s">
        <v>174</v>
      </c>
      <c r="Q97" s="32" t="s">
        <v>75</v>
      </c>
      <c r="R97" s="32" t="s">
        <v>47</v>
      </c>
      <c r="S97" s="32" t="s">
        <v>53</v>
      </c>
      <c r="T97" s="32" t="s">
        <v>53</v>
      </c>
      <c r="U97" s="3" t="s">
        <v>47</v>
      </c>
      <c r="V97" s="4" t="s">
        <v>405</v>
      </c>
      <c r="W97" s="28" t="n">
        <f aca="false">'Plepys data'!AC22</f>
        <v>16.4819277108434</v>
      </c>
      <c r="X97" s="2"/>
      <c r="Y97" s="2"/>
      <c r="Z97" s="2"/>
      <c r="AA97" s="2"/>
      <c r="AB97" s="2"/>
      <c r="AC97" s="2"/>
      <c r="AD97" s="2"/>
      <c r="AE97" s="2"/>
      <c r="AF97" s="2"/>
      <c r="AG97" s="2"/>
    </row>
    <row r="98" s="30" customFormat="true" ht="31.5" hidden="false" customHeight="false" outlineLevel="0" collapsed="false">
      <c r="A98" s="2"/>
      <c r="B98" s="35" t="s">
        <v>170</v>
      </c>
      <c r="C98" s="32" t="s">
        <v>171</v>
      </c>
      <c r="D98" s="3" t="n">
        <v>1999</v>
      </c>
      <c r="E98" s="20" t="s">
        <v>172</v>
      </c>
      <c r="F98" s="32" t="s">
        <v>51</v>
      </c>
      <c r="G98" s="32" t="s">
        <v>58</v>
      </c>
      <c r="H98" s="32" t="s">
        <v>47</v>
      </c>
      <c r="I98" s="32" t="s">
        <v>75</v>
      </c>
      <c r="J98" s="32" t="s">
        <v>58</v>
      </c>
      <c r="K98" s="32" t="n">
        <v>200</v>
      </c>
      <c r="L98" s="32" t="s">
        <v>75</v>
      </c>
      <c r="M98" s="32" t="s">
        <v>75</v>
      </c>
      <c r="N98" s="32" t="s">
        <v>75</v>
      </c>
      <c r="O98" s="32" t="s">
        <v>65</v>
      </c>
      <c r="P98" s="3" t="s">
        <v>174</v>
      </c>
      <c r="Q98" s="32" t="s">
        <v>75</v>
      </c>
      <c r="R98" s="32" t="s">
        <v>47</v>
      </c>
      <c r="S98" s="32" t="s">
        <v>53</v>
      </c>
      <c r="T98" s="32" t="s">
        <v>53</v>
      </c>
      <c r="U98" s="3" t="s">
        <v>47</v>
      </c>
      <c r="V98" s="4" t="s">
        <v>405</v>
      </c>
      <c r="W98" s="28" t="n">
        <f aca="false">'Plepys data'!AC23</f>
        <v>14.6385542168675</v>
      </c>
      <c r="X98" s="2"/>
      <c r="Y98" s="2"/>
      <c r="Z98" s="2"/>
      <c r="AA98" s="2"/>
      <c r="AB98" s="2"/>
      <c r="AC98" s="2"/>
      <c r="AD98" s="2"/>
      <c r="AE98" s="2"/>
      <c r="AF98" s="2"/>
      <c r="AG98" s="2"/>
    </row>
    <row r="99" s="30" customFormat="true" ht="31.5" hidden="false" customHeight="false" outlineLevel="0" collapsed="false">
      <c r="A99" s="2"/>
      <c r="B99" s="35" t="s">
        <v>170</v>
      </c>
      <c r="C99" s="32" t="s">
        <v>171</v>
      </c>
      <c r="D99" s="3" t="n">
        <v>2000</v>
      </c>
      <c r="E99" s="20" t="s">
        <v>172</v>
      </c>
      <c r="F99" s="32" t="s">
        <v>51</v>
      </c>
      <c r="G99" s="32" t="s">
        <v>58</v>
      </c>
      <c r="H99" s="32" t="s">
        <v>47</v>
      </c>
      <c r="I99" s="32" t="s">
        <v>75</v>
      </c>
      <c r="J99" s="32" t="s">
        <v>58</v>
      </c>
      <c r="K99" s="32" t="n">
        <v>200</v>
      </c>
      <c r="L99" s="32" t="s">
        <v>75</v>
      </c>
      <c r="M99" s="32" t="s">
        <v>75</v>
      </c>
      <c r="N99" s="32" t="s">
        <v>75</v>
      </c>
      <c r="O99" s="32" t="s">
        <v>65</v>
      </c>
      <c r="P99" s="3" t="s">
        <v>174</v>
      </c>
      <c r="Q99" s="32" t="s">
        <v>75</v>
      </c>
      <c r="R99" s="32" t="s">
        <v>47</v>
      </c>
      <c r="S99" s="32" t="s">
        <v>53</v>
      </c>
      <c r="T99" s="32" t="s">
        <v>53</v>
      </c>
      <c r="U99" s="3" t="s">
        <v>47</v>
      </c>
      <c r="V99" s="4" t="s">
        <v>405</v>
      </c>
      <c r="W99" s="28" t="n">
        <f aca="false">'Plepys data'!AC24</f>
        <v>13.3373493975904</v>
      </c>
      <c r="X99" s="2"/>
      <c r="Y99" s="2"/>
      <c r="Z99" s="2"/>
      <c r="AA99" s="2"/>
      <c r="AB99" s="2"/>
      <c r="AC99" s="2"/>
      <c r="AD99" s="2"/>
      <c r="AE99" s="2"/>
      <c r="AF99" s="2"/>
      <c r="AG99" s="2"/>
    </row>
    <row r="100" s="30" customFormat="true" ht="31.5" hidden="false" customHeight="false" outlineLevel="0" collapsed="false">
      <c r="A100" s="2"/>
      <c r="B100" s="35" t="s">
        <v>170</v>
      </c>
      <c r="C100" s="32" t="s">
        <v>171</v>
      </c>
      <c r="D100" s="3" t="n">
        <v>2000</v>
      </c>
      <c r="E100" s="20" t="s">
        <v>172</v>
      </c>
      <c r="F100" s="32" t="s">
        <v>51</v>
      </c>
      <c r="G100" s="32" t="s">
        <v>58</v>
      </c>
      <c r="H100" s="32" t="s">
        <v>47</v>
      </c>
      <c r="I100" s="32" t="s">
        <v>75</v>
      </c>
      <c r="J100" s="32" t="s">
        <v>58</v>
      </c>
      <c r="K100" s="32" t="n">
        <v>200</v>
      </c>
      <c r="L100" s="32" t="s">
        <v>75</v>
      </c>
      <c r="M100" s="32" t="s">
        <v>75</v>
      </c>
      <c r="N100" s="32" t="s">
        <v>75</v>
      </c>
      <c r="O100" s="32" t="s">
        <v>65</v>
      </c>
      <c r="P100" s="3" t="s">
        <v>174</v>
      </c>
      <c r="Q100" s="32" t="s">
        <v>75</v>
      </c>
      <c r="R100" s="32" t="s">
        <v>47</v>
      </c>
      <c r="S100" s="32" t="s">
        <v>53</v>
      </c>
      <c r="T100" s="32" t="s">
        <v>53</v>
      </c>
      <c r="U100" s="3" t="s">
        <v>47</v>
      </c>
      <c r="V100" s="4" t="s">
        <v>405</v>
      </c>
      <c r="W100" s="28" t="n">
        <f aca="false">'Plepys data'!AC25</f>
        <v>12.9036144578313</v>
      </c>
      <c r="X100" s="2"/>
      <c r="Y100" s="2"/>
      <c r="Z100" s="2"/>
      <c r="AA100" s="2"/>
      <c r="AB100" s="2"/>
      <c r="AC100" s="2"/>
      <c r="AD100" s="2"/>
      <c r="AE100" s="2"/>
      <c r="AF100" s="2"/>
      <c r="AG100" s="2"/>
    </row>
    <row r="101" s="30" customFormat="true" ht="31.5" hidden="false" customHeight="false" outlineLevel="0" collapsed="false">
      <c r="A101" s="2"/>
      <c r="B101" s="35" t="s">
        <v>170</v>
      </c>
      <c r="C101" s="32" t="s">
        <v>171</v>
      </c>
      <c r="D101" s="3" t="n">
        <v>2001</v>
      </c>
      <c r="E101" s="20" t="s">
        <v>172</v>
      </c>
      <c r="F101" s="32" t="s">
        <v>51</v>
      </c>
      <c r="G101" s="32" t="s">
        <v>58</v>
      </c>
      <c r="H101" s="32" t="s">
        <v>47</v>
      </c>
      <c r="I101" s="32" t="s">
        <v>75</v>
      </c>
      <c r="J101" s="32" t="s">
        <v>58</v>
      </c>
      <c r="K101" s="32" t="n">
        <v>300</v>
      </c>
      <c r="L101" s="32" t="s">
        <v>75</v>
      </c>
      <c r="M101" s="32" t="s">
        <v>75</v>
      </c>
      <c r="N101" s="32" t="s">
        <v>75</v>
      </c>
      <c r="O101" s="32" t="s">
        <v>48</v>
      </c>
      <c r="P101" s="3" t="s">
        <v>174</v>
      </c>
      <c r="Q101" s="32" t="s">
        <v>75</v>
      </c>
      <c r="R101" s="32" t="s">
        <v>47</v>
      </c>
      <c r="S101" s="32" t="s">
        <v>53</v>
      </c>
      <c r="T101" s="32" t="s">
        <v>53</v>
      </c>
      <c r="U101" s="3" t="s">
        <v>47</v>
      </c>
      <c r="V101" s="4" t="s">
        <v>405</v>
      </c>
      <c r="W101" s="28" t="n">
        <f aca="false">'Plepys data'!AC26</f>
        <v>21.4698795180723</v>
      </c>
      <c r="X101" s="2"/>
      <c r="Y101" s="2"/>
      <c r="Z101" s="2"/>
      <c r="AA101" s="2"/>
      <c r="AB101" s="2"/>
      <c r="AC101" s="2"/>
      <c r="AD101" s="2"/>
      <c r="AE101" s="2"/>
      <c r="AF101" s="2"/>
      <c r="AG101" s="2"/>
    </row>
    <row r="102" s="30" customFormat="true" ht="31.5" hidden="false" customHeight="false" outlineLevel="0" collapsed="false">
      <c r="A102" s="2"/>
      <c r="B102" s="35" t="s">
        <v>170</v>
      </c>
      <c r="C102" s="32" t="s">
        <v>171</v>
      </c>
      <c r="D102" s="3" t="n">
        <v>2002</v>
      </c>
      <c r="E102" s="20" t="s">
        <v>172</v>
      </c>
      <c r="F102" s="32" t="s">
        <v>51</v>
      </c>
      <c r="G102" s="32" t="s">
        <v>58</v>
      </c>
      <c r="H102" s="32" t="s">
        <v>47</v>
      </c>
      <c r="I102" s="32" t="s">
        <v>75</v>
      </c>
      <c r="J102" s="32" t="s">
        <v>58</v>
      </c>
      <c r="K102" s="32" t="n">
        <v>300</v>
      </c>
      <c r="L102" s="32" t="s">
        <v>75</v>
      </c>
      <c r="M102" s="32" t="s">
        <v>75</v>
      </c>
      <c r="N102" s="32" t="s">
        <v>75</v>
      </c>
      <c r="O102" s="32" t="s">
        <v>65</v>
      </c>
      <c r="P102" s="3" t="s">
        <v>174</v>
      </c>
      <c r="Q102" s="32" t="s">
        <v>75</v>
      </c>
      <c r="R102" s="32" t="s">
        <v>47</v>
      </c>
      <c r="S102" s="32" t="s">
        <v>53</v>
      </c>
      <c r="T102" s="32" t="s">
        <v>53</v>
      </c>
      <c r="U102" s="3" t="s">
        <v>47</v>
      </c>
      <c r="V102" s="4" t="s">
        <v>405</v>
      </c>
      <c r="W102" s="28" t="n">
        <f aca="false">'Plepys data'!AC27</f>
        <v>5.42168674698795</v>
      </c>
      <c r="X102" s="2"/>
      <c r="Y102" s="2"/>
      <c r="Z102" s="2"/>
      <c r="AA102" s="2"/>
      <c r="AB102" s="2"/>
      <c r="AC102" s="2"/>
      <c r="AD102" s="2"/>
      <c r="AE102" s="2"/>
      <c r="AF102" s="2"/>
      <c r="AG102" s="2"/>
    </row>
    <row r="103" s="30" customFormat="true" ht="31.5" hidden="false" customHeight="false" outlineLevel="0" collapsed="false">
      <c r="A103" s="2"/>
      <c r="B103" s="35" t="s">
        <v>170</v>
      </c>
      <c r="C103" s="32" t="s">
        <v>171</v>
      </c>
      <c r="D103" s="3" t="n">
        <v>2002</v>
      </c>
      <c r="E103" s="20" t="s">
        <v>172</v>
      </c>
      <c r="F103" s="32" t="s">
        <v>51</v>
      </c>
      <c r="G103" s="32" t="s">
        <v>58</v>
      </c>
      <c r="H103" s="32" t="s">
        <v>47</v>
      </c>
      <c r="I103" s="32" t="s">
        <v>75</v>
      </c>
      <c r="J103" s="32" t="s">
        <v>58</v>
      </c>
      <c r="K103" s="32" t="n">
        <v>300</v>
      </c>
      <c r="L103" s="32" t="s">
        <v>75</v>
      </c>
      <c r="M103" s="32" t="s">
        <v>75</v>
      </c>
      <c r="N103" s="32" t="s">
        <v>75</v>
      </c>
      <c r="O103" s="32" t="s">
        <v>65</v>
      </c>
      <c r="P103" s="3" t="s">
        <v>174</v>
      </c>
      <c r="Q103" s="32" t="s">
        <v>75</v>
      </c>
      <c r="R103" s="32" t="s">
        <v>47</v>
      </c>
      <c r="S103" s="32" t="s">
        <v>53</v>
      </c>
      <c r="T103" s="32" t="s">
        <v>53</v>
      </c>
      <c r="U103" s="3" t="s">
        <v>47</v>
      </c>
      <c r="V103" s="4" t="s">
        <v>405</v>
      </c>
      <c r="W103" s="28" t="n">
        <f aca="false">'Plepys data'!AC28</f>
        <v>7.59036144578313</v>
      </c>
      <c r="X103" s="2"/>
      <c r="Y103" s="2"/>
      <c r="Z103" s="2"/>
      <c r="AA103" s="2"/>
      <c r="AB103" s="2"/>
      <c r="AC103" s="2"/>
      <c r="AD103" s="2"/>
      <c r="AE103" s="2"/>
      <c r="AF103" s="2"/>
      <c r="AG103" s="2"/>
    </row>
    <row r="104" s="30" customFormat="true" ht="31.5" hidden="false" customHeight="false" outlineLevel="0" collapsed="false">
      <c r="A104" s="2"/>
      <c r="B104" s="35" t="s">
        <v>170</v>
      </c>
      <c r="C104" s="32" t="s">
        <v>171</v>
      </c>
      <c r="D104" s="3" t="n">
        <v>2002</v>
      </c>
      <c r="E104" s="20" t="s">
        <v>172</v>
      </c>
      <c r="F104" s="32" t="s">
        <v>51</v>
      </c>
      <c r="G104" s="32" t="s">
        <v>58</v>
      </c>
      <c r="H104" s="32" t="s">
        <v>47</v>
      </c>
      <c r="I104" s="32" t="s">
        <v>75</v>
      </c>
      <c r="J104" s="32" t="s">
        <v>58</v>
      </c>
      <c r="K104" s="32" t="n">
        <v>300</v>
      </c>
      <c r="L104" s="32" t="s">
        <v>75</v>
      </c>
      <c r="M104" s="32" t="s">
        <v>75</v>
      </c>
      <c r="N104" s="32" t="s">
        <v>75</v>
      </c>
      <c r="O104" s="32" t="s">
        <v>65</v>
      </c>
      <c r="P104" s="3" t="s">
        <v>174</v>
      </c>
      <c r="Q104" s="32" t="s">
        <v>75</v>
      </c>
      <c r="R104" s="32" t="s">
        <v>47</v>
      </c>
      <c r="S104" s="32" t="s">
        <v>53</v>
      </c>
      <c r="T104" s="32" t="s">
        <v>53</v>
      </c>
      <c r="U104" s="3" t="s">
        <v>47</v>
      </c>
      <c r="V104" s="4" t="s">
        <v>405</v>
      </c>
      <c r="W104" s="28" t="n">
        <f aca="false">'Plepys data'!AC29</f>
        <v>19.9518072289157</v>
      </c>
      <c r="X104" s="2"/>
      <c r="Y104" s="2"/>
      <c r="Z104" s="2"/>
      <c r="AA104" s="2"/>
      <c r="AB104" s="2"/>
      <c r="AC104" s="2"/>
      <c r="AD104" s="2"/>
      <c r="AE104" s="2"/>
      <c r="AF104" s="2"/>
      <c r="AG104" s="2"/>
    </row>
    <row r="105" s="30" customFormat="true" ht="31.5" hidden="false" customHeight="false" outlineLevel="0" collapsed="false">
      <c r="A105" s="2"/>
      <c r="B105" s="35" t="s">
        <v>170</v>
      </c>
      <c r="C105" s="32" t="s">
        <v>171</v>
      </c>
      <c r="D105" s="3" t="n">
        <v>2002</v>
      </c>
      <c r="E105" s="20" t="s">
        <v>172</v>
      </c>
      <c r="F105" s="32" t="s">
        <v>51</v>
      </c>
      <c r="G105" s="32" t="s">
        <v>58</v>
      </c>
      <c r="H105" s="32" t="s">
        <v>47</v>
      </c>
      <c r="I105" s="32" t="s">
        <v>75</v>
      </c>
      <c r="J105" s="32" t="s">
        <v>58</v>
      </c>
      <c r="K105" s="32" t="n">
        <v>100</v>
      </c>
      <c r="L105" s="32" t="s">
        <v>75</v>
      </c>
      <c r="M105" s="32" t="s">
        <v>75</v>
      </c>
      <c r="N105" s="32" t="s">
        <v>75</v>
      </c>
      <c r="O105" s="32" t="s">
        <v>48</v>
      </c>
      <c r="P105" s="3" t="s">
        <v>174</v>
      </c>
      <c r="Q105" s="32" t="s">
        <v>75</v>
      </c>
      <c r="R105" s="32" t="s">
        <v>47</v>
      </c>
      <c r="S105" s="32" t="s">
        <v>53</v>
      </c>
      <c r="T105" s="32" t="s">
        <v>53</v>
      </c>
      <c r="U105" s="3" t="s">
        <v>47</v>
      </c>
      <c r="V105" s="4" t="s">
        <v>405</v>
      </c>
      <c r="W105" s="28" t="n">
        <f aca="false">'Plepys data'!AC30</f>
        <v>54.9759036144578</v>
      </c>
      <c r="X105" s="2"/>
      <c r="Y105" s="2"/>
      <c r="Z105" s="2"/>
      <c r="AA105" s="2"/>
      <c r="AB105" s="2"/>
      <c r="AC105" s="2"/>
      <c r="AD105" s="2"/>
      <c r="AE105" s="2"/>
      <c r="AF105" s="2"/>
      <c r="AG105" s="2"/>
    </row>
    <row r="106" s="30" customFormat="true" ht="31.5" hidden="false" customHeight="false" outlineLevel="0" collapsed="false">
      <c r="A106" s="2"/>
      <c r="B106" s="35" t="s">
        <v>170</v>
      </c>
      <c r="C106" s="32" t="s">
        <v>171</v>
      </c>
      <c r="D106" s="3" t="n">
        <v>2002</v>
      </c>
      <c r="E106" s="20" t="s">
        <v>172</v>
      </c>
      <c r="F106" s="32" t="s">
        <v>51</v>
      </c>
      <c r="G106" s="32" t="s">
        <v>58</v>
      </c>
      <c r="H106" s="32" t="s">
        <v>47</v>
      </c>
      <c r="I106" s="32" t="s">
        <v>75</v>
      </c>
      <c r="J106" s="32" t="s">
        <v>58</v>
      </c>
      <c r="K106" s="32" t="n">
        <v>200</v>
      </c>
      <c r="L106" s="32" t="s">
        <v>75</v>
      </c>
      <c r="M106" s="32" t="s">
        <v>75</v>
      </c>
      <c r="N106" s="32" t="s">
        <v>75</v>
      </c>
      <c r="O106" s="32" t="s">
        <v>48</v>
      </c>
      <c r="P106" s="3" t="s">
        <v>174</v>
      </c>
      <c r="Q106" s="32" t="s">
        <v>75</v>
      </c>
      <c r="R106" s="32" t="s">
        <v>47</v>
      </c>
      <c r="S106" s="32" t="s">
        <v>53</v>
      </c>
      <c r="T106" s="32" t="s">
        <v>53</v>
      </c>
      <c r="U106" s="3" t="s">
        <v>47</v>
      </c>
      <c r="V106" s="4" t="s">
        <v>405</v>
      </c>
      <c r="W106" s="28" t="n">
        <f aca="false">'Plepys data'!AC31</f>
        <v>37.0843373493976</v>
      </c>
      <c r="X106" s="2"/>
      <c r="Y106" s="2"/>
      <c r="Z106" s="2"/>
      <c r="AA106" s="2"/>
      <c r="AB106" s="2"/>
      <c r="AC106" s="2"/>
      <c r="AD106" s="2"/>
      <c r="AE106" s="2"/>
      <c r="AF106" s="2"/>
      <c r="AG106" s="2"/>
    </row>
    <row r="107" s="30" customFormat="true" ht="31.5" hidden="false" customHeight="false" outlineLevel="0" collapsed="false">
      <c r="A107" s="2"/>
      <c r="B107" s="35" t="s">
        <v>170</v>
      </c>
      <c r="C107" s="32" t="s">
        <v>171</v>
      </c>
      <c r="D107" s="3" t="n">
        <v>2003</v>
      </c>
      <c r="E107" s="20" t="s">
        <v>172</v>
      </c>
      <c r="F107" s="32" t="s">
        <v>51</v>
      </c>
      <c r="G107" s="32" t="s">
        <v>58</v>
      </c>
      <c r="H107" s="32" t="s">
        <v>47</v>
      </c>
      <c r="I107" s="32" t="s">
        <v>75</v>
      </c>
      <c r="J107" s="32" t="s">
        <v>58</v>
      </c>
      <c r="K107" s="32" t="n">
        <v>100</v>
      </c>
      <c r="L107" s="32" t="s">
        <v>75</v>
      </c>
      <c r="M107" s="32" t="s">
        <v>75</v>
      </c>
      <c r="N107" s="32" t="s">
        <v>75</v>
      </c>
      <c r="O107" s="32" t="s">
        <v>48</v>
      </c>
      <c r="P107" s="3" t="s">
        <v>174</v>
      </c>
      <c r="Q107" s="32" t="s">
        <v>75</v>
      </c>
      <c r="R107" s="32" t="s">
        <v>47</v>
      </c>
      <c r="S107" s="32" t="s">
        <v>53</v>
      </c>
      <c r="T107" s="32" t="s">
        <v>53</v>
      </c>
      <c r="U107" s="3" t="s">
        <v>47</v>
      </c>
      <c r="V107" s="4" t="s">
        <v>405</v>
      </c>
      <c r="W107" s="28" t="n">
        <f aca="false">'Plepys data'!AC32</f>
        <v>56.0602409638554</v>
      </c>
      <c r="X107" s="2"/>
      <c r="Y107" s="2"/>
      <c r="Z107" s="2"/>
      <c r="AA107" s="2"/>
      <c r="AB107" s="2"/>
      <c r="AC107" s="2"/>
      <c r="AD107" s="2"/>
      <c r="AE107" s="2"/>
      <c r="AF107" s="2"/>
      <c r="AG107" s="2"/>
    </row>
    <row r="108" s="30" customFormat="true" ht="31.5" hidden="false" customHeight="false" outlineLevel="0" collapsed="false">
      <c r="A108" s="2"/>
      <c r="B108" s="35" t="s">
        <v>170</v>
      </c>
      <c r="C108" s="32" t="s">
        <v>171</v>
      </c>
      <c r="D108" s="3" t="n">
        <v>2003</v>
      </c>
      <c r="E108" s="20" t="s">
        <v>172</v>
      </c>
      <c r="F108" s="32" t="s">
        <v>51</v>
      </c>
      <c r="G108" s="32" t="s">
        <v>58</v>
      </c>
      <c r="H108" s="32" t="s">
        <v>47</v>
      </c>
      <c r="I108" s="32" t="s">
        <v>75</v>
      </c>
      <c r="J108" s="32" t="s">
        <v>58</v>
      </c>
      <c r="K108" s="32" t="n">
        <v>200</v>
      </c>
      <c r="L108" s="32" t="s">
        <v>75</v>
      </c>
      <c r="M108" s="32" t="s">
        <v>75</v>
      </c>
      <c r="N108" s="32" t="s">
        <v>75</v>
      </c>
      <c r="O108" s="32" t="s">
        <v>48</v>
      </c>
      <c r="P108" s="3" t="s">
        <v>174</v>
      </c>
      <c r="Q108" s="32" t="s">
        <v>75</v>
      </c>
      <c r="R108" s="32" t="s">
        <v>47</v>
      </c>
      <c r="S108" s="32" t="s">
        <v>53</v>
      </c>
      <c r="T108" s="32" t="s">
        <v>53</v>
      </c>
      <c r="U108" s="3" t="s">
        <v>47</v>
      </c>
      <c r="V108" s="4" t="s">
        <v>405</v>
      </c>
      <c r="W108" s="28" t="n">
        <f aca="false">'Plepys data'!AC33</f>
        <v>19.4096385542169</v>
      </c>
      <c r="X108" s="2"/>
      <c r="Y108" s="2"/>
      <c r="Z108" s="2"/>
      <c r="AA108" s="2"/>
      <c r="AB108" s="2"/>
      <c r="AC108" s="2"/>
      <c r="AD108" s="2"/>
      <c r="AE108" s="2"/>
      <c r="AF108" s="2"/>
      <c r="AG108" s="2"/>
    </row>
    <row r="109" s="30" customFormat="true" ht="47.25" hidden="false" customHeight="false" outlineLevel="0" collapsed="false">
      <c r="A109" s="2"/>
      <c r="B109" s="35" t="s">
        <v>116</v>
      </c>
      <c r="C109" s="32" t="s">
        <v>117</v>
      </c>
      <c r="D109" s="3" t="n">
        <v>1995</v>
      </c>
      <c r="E109" s="31" t="s">
        <v>176</v>
      </c>
      <c r="F109" s="32" t="s">
        <v>51</v>
      </c>
      <c r="G109" s="32" t="s">
        <v>58</v>
      </c>
      <c r="H109" s="32" t="s">
        <v>47</v>
      </c>
      <c r="I109" s="32" t="s">
        <v>75</v>
      </c>
      <c r="J109" s="3" t="s">
        <v>75</v>
      </c>
      <c r="K109" s="3" t="s">
        <v>75</v>
      </c>
      <c r="L109" s="32" t="s">
        <v>114</v>
      </c>
      <c r="M109" s="3" t="s">
        <v>75</v>
      </c>
      <c r="N109" s="3" t="s">
        <v>75</v>
      </c>
      <c r="O109" s="3" t="s">
        <v>75</v>
      </c>
      <c r="P109" s="3" t="s">
        <v>119</v>
      </c>
      <c r="Q109" s="3" t="s">
        <v>75</v>
      </c>
      <c r="R109" s="32" t="s">
        <v>47</v>
      </c>
      <c r="S109" s="32" t="s">
        <v>53</v>
      </c>
      <c r="T109" s="32" t="s">
        <v>53</v>
      </c>
      <c r="U109" s="3" t="s">
        <v>47</v>
      </c>
      <c r="V109" s="4" t="s">
        <v>406</v>
      </c>
      <c r="W109" s="28" t="n">
        <f aca="false">'Ercan data'!E8</f>
        <v>21.6867469879518</v>
      </c>
      <c r="X109" s="2"/>
      <c r="Y109" s="2"/>
      <c r="Z109" s="2"/>
      <c r="AA109" s="2"/>
      <c r="AB109" s="2"/>
      <c r="AC109" s="2"/>
      <c r="AD109" s="2"/>
      <c r="AE109" s="2"/>
      <c r="AF109" s="2"/>
      <c r="AG109" s="2"/>
    </row>
    <row r="110" s="30" customFormat="true" ht="47.25" hidden="false" customHeight="false" outlineLevel="0" collapsed="false">
      <c r="A110" s="2"/>
      <c r="B110" s="35" t="s">
        <v>116</v>
      </c>
      <c r="C110" s="32" t="s">
        <v>117</v>
      </c>
      <c r="D110" s="3" t="n">
        <v>1995</v>
      </c>
      <c r="E110" s="31" t="s">
        <v>176</v>
      </c>
      <c r="F110" s="32" t="s">
        <v>51</v>
      </c>
      <c r="G110" s="32" t="s">
        <v>58</v>
      </c>
      <c r="H110" s="32" t="s">
        <v>47</v>
      </c>
      <c r="I110" s="32" t="s">
        <v>75</v>
      </c>
      <c r="J110" s="3" t="s">
        <v>75</v>
      </c>
      <c r="K110" s="3" t="s">
        <v>75</v>
      </c>
      <c r="L110" s="32" t="s">
        <v>114</v>
      </c>
      <c r="M110" s="3" t="s">
        <v>75</v>
      </c>
      <c r="N110" s="3" t="s">
        <v>75</v>
      </c>
      <c r="O110" s="3" t="s">
        <v>75</v>
      </c>
      <c r="P110" s="3" t="s">
        <v>119</v>
      </c>
      <c r="Q110" s="3" t="s">
        <v>75</v>
      </c>
      <c r="R110" s="32" t="s">
        <v>47</v>
      </c>
      <c r="S110" s="32" t="s">
        <v>53</v>
      </c>
      <c r="T110" s="32" t="s">
        <v>53</v>
      </c>
      <c r="U110" s="3" t="s">
        <v>47</v>
      </c>
      <c r="V110" s="4" t="s">
        <v>406</v>
      </c>
      <c r="W110" s="28" t="n">
        <f aca="false">'Ercan data'!E9</f>
        <v>43.3734939759036</v>
      </c>
      <c r="X110" s="2"/>
      <c r="Y110" s="2"/>
      <c r="Z110" s="2"/>
      <c r="AA110" s="2"/>
      <c r="AB110" s="2"/>
      <c r="AC110" s="2"/>
      <c r="AD110" s="2"/>
      <c r="AE110" s="2"/>
      <c r="AF110" s="2"/>
      <c r="AG110" s="2"/>
    </row>
    <row r="111" s="30" customFormat="true" ht="23.25" hidden="false" customHeight="true" outlineLevel="0" collapsed="false">
      <c r="A111" s="2"/>
      <c r="B111" s="35" t="s">
        <v>116</v>
      </c>
      <c r="C111" s="32" t="s">
        <v>117</v>
      </c>
      <c r="D111" s="3" t="n">
        <v>1995</v>
      </c>
      <c r="E111" s="31" t="s">
        <v>176</v>
      </c>
      <c r="F111" s="32" t="s">
        <v>51</v>
      </c>
      <c r="G111" s="32" t="s">
        <v>58</v>
      </c>
      <c r="H111" s="32" t="s">
        <v>47</v>
      </c>
      <c r="I111" s="32" t="s">
        <v>75</v>
      </c>
      <c r="J111" s="3" t="s">
        <v>75</v>
      </c>
      <c r="K111" s="3" t="s">
        <v>75</v>
      </c>
      <c r="L111" s="32" t="s">
        <v>47</v>
      </c>
      <c r="M111" s="3" t="s">
        <v>75</v>
      </c>
      <c r="N111" s="3" t="s">
        <v>75</v>
      </c>
      <c r="O111" s="3" t="s">
        <v>75</v>
      </c>
      <c r="P111" s="3" t="s">
        <v>119</v>
      </c>
      <c r="Q111" s="3" t="s">
        <v>75</v>
      </c>
      <c r="R111" s="32" t="s">
        <v>47</v>
      </c>
      <c r="S111" s="32" t="s">
        <v>53</v>
      </c>
      <c r="T111" s="32" t="s">
        <v>53</v>
      </c>
      <c r="U111" s="3" t="s">
        <v>47</v>
      </c>
      <c r="V111" s="4" t="s">
        <v>407</v>
      </c>
      <c r="W111" s="28" t="n">
        <f aca="false">'Ercan data'!E10</f>
        <v>32.5301204819277</v>
      </c>
      <c r="X111" s="2"/>
      <c r="Y111" s="2"/>
      <c r="Z111" s="2"/>
      <c r="AA111" s="2"/>
      <c r="AB111" s="2"/>
      <c r="AC111" s="2"/>
      <c r="AD111" s="2"/>
      <c r="AE111" s="2"/>
      <c r="AF111" s="2"/>
      <c r="AG111" s="2"/>
    </row>
    <row r="112" s="30" customFormat="true" ht="31.5" hidden="false" customHeight="false" outlineLevel="0" collapsed="false">
      <c r="A112" s="2"/>
      <c r="B112" s="2" t="s">
        <v>408</v>
      </c>
      <c r="C112" s="32" t="s">
        <v>179</v>
      </c>
      <c r="D112" s="32" t="n">
        <v>2006</v>
      </c>
      <c r="E112" s="20" t="s">
        <v>409</v>
      </c>
      <c r="F112" s="32" t="s">
        <v>51</v>
      </c>
      <c r="G112" s="3" t="s">
        <v>58</v>
      </c>
      <c r="H112" s="3" t="s">
        <v>47</v>
      </c>
      <c r="I112" s="3" t="s">
        <v>75</v>
      </c>
      <c r="J112" s="3" t="s">
        <v>75</v>
      </c>
      <c r="K112" s="3" t="s">
        <v>75</v>
      </c>
      <c r="L112" s="3" t="s">
        <v>75</v>
      </c>
      <c r="M112" s="3" t="s">
        <v>75</v>
      </c>
      <c r="N112" s="3" t="s">
        <v>53</v>
      </c>
      <c r="O112" s="32" t="s">
        <v>54</v>
      </c>
      <c r="P112" s="3" t="s">
        <v>55</v>
      </c>
      <c r="Q112" s="3" t="s">
        <v>56</v>
      </c>
      <c r="R112" s="3" t="s">
        <v>47</v>
      </c>
      <c r="S112" s="3" t="s">
        <v>53</v>
      </c>
      <c r="T112" s="3" t="s">
        <v>53</v>
      </c>
      <c r="U112" s="3" t="s">
        <v>47</v>
      </c>
      <c r="V112" s="4" t="s">
        <v>410</v>
      </c>
      <c r="W112" s="28" t="n">
        <f aca="false">'Deng data'!F6</f>
        <v>18</v>
      </c>
      <c r="X112" s="63"/>
      <c r="Y112" s="2"/>
      <c r="Z112" s="63"/>
      <c r="AA112" s="2"/>
      <c r="AB112" s="2"/>
      <c r="AC112" s="2"/>
      <c r="AD112" s="2"/>
      <c r="AE112" s="2"/>
      <c r="AF112" s="2"/>
      <c r="AG112" s="2"/>
    </row>
    <row r="113" s="30" customFormat="true" ht="31.5" hidden="false" customHeight="false" outlineLevel="0" collapsed="false">
      <c r="A113" s="2"/>
      <c r="B113" s="2" t="s">
        <v>408</v>
      </c>
      <c r="C113" s="32" t="s">
        <v>179</v>
      </c>
      <c r="D113" s="32" t="n">
        <v>2002</v>
      </c>
      <c r="E113" s="20" t="s">
        <v>411</v>
      </c>
      <c r="F113" s="32" t="s">
        <v>51</v>
      </c>
      <c r="G113" s="3" t="s">
        <v>58</v>
      </c>
      <c r="H113" s="3" t="s">
        <v>47</v>
      </c>
      <c r="I113" s="3" t="s">
        <v>75</v>
      </c>
      <c r="J113" s="3" t="s">
        <v>75</v>
      </c>
      <c r="K113" s="3" t="s">
        <v>75</v>
      </c>
      <c r="L113" s="3" t="s">
        <v>75</v>
      </c>
      <c r="M113" s="3" t="s">
        <v>75</v>
      </c>
      <c r="N113" s="3" t="s">
        <v>53</v>
      </c>
      <c r="O113" s="32" t="s">
        <v>54</v>
      </c>
      <c r="P113" s="3" t="s">
        <v>55</v>
      </c>
      <c r="Q113" s="3" t="s">
        <v>56</v>
      </c>
      <c r="R113" s="3" t="s">
        <v>47</v>
      </c>
      <c r="S113" s="3" t="s">
        <v>53</v>
      </c>
      <c r="T113" s="3" t="s">
        <v>53</v>
      </c>
      <c r="U113" s="3" t="s">
        <v>47</v>
      </c>
      <c r="V113" s="4" t="s">
        <v>410</v>
      </c>
      <c r="W113" s="28" t="n">
        <f aca="false">'Deng data'!F7</f>
        <v>23</v>
      </c>
      <c r="X113" s="63"/>
      <c r="Y113" s="63"/>
      <c r="Z113" s="63"/>
      <c r="AA113" s="2"/>
      <c r="AB113" s="2"/>
      <c r="AC113" s="2"/>
      <c r="AD113" s="2"/>
      <c r="AE113" s="2"/>
      <c r="AF113" s="2"/>
      <c r="AG113" s="2"/>
    </row>
    <row r="114" s="30" customFormat="true" ht="31.5" hidden="false" customHeight="false" outlineLevel="0" collapsed="false">
      <c r="A114" s="2"/>
      <c r="B114" s="2" t="s">
        <v>408</v>
      </c>
      <c r="C114" s="32" t="s">
        <v>179</v>
      </c>
      <c r="D114" s="32" t="n">
        <v>1999</v>
      </c>
      <c r="E114" s="20" t="s">
        <v>412</v>
      </c>
      <c r="F114" s="32" t="s">
        <v>51</v>
      </c>
      <c r="G114" s="3" t="s">
        <v>58</v>
      </c>
      <c r="H114" s="3" t="s">
        <v>47</v>
      </c>
      <c r="I114" s="3" t="s">
        <v>75</v>
      </c>
      <c r="J114" s="3" t="s">
        <v>75</v>
      </c>
      <c r="K114" s="3" t="s">
        <v>75</v>
      </c>
      <c r="L114" s="3" t="s">
        <v>75</v>
      </c>
      <c r="M114" s="3" t="s">
        <v>75</v>
      </c>
      <c r="N114" s="3" t="s">
        <v>53</v>
      </c>
      <c r="O114" s="32" t="s">
        <v>64</v>
      </c>
      <c r="P114" s="3" t="s">
        <v>55</v>
      </c>
      <c r="Q114" s="3" t="s">
        <v>56</v>
      </c>
      <c r="R114" s="3" t="s">
        <v>47</v>
      </c>
      <c r="S114" s="3" t="s">
        <v>53</v>
      </c>
      <c r="T114" s="3" t="s">
        <v>53</v>
      </c>
      <c r="U114" s="3" t="s">
        <v>47</v>
      </c>
      <c r="V114" s="4" t="s">
        <v>410</v>
      </c>
      <c r="W114" s="28" t="n">
        <f aca="false">'Deng data'!F8</f>
        <v>14</v>
      </c>
      <c r="X114" s="63"/>
      <c r="Y114" s="63"/>
      <c r="Z114" s="63"/>
      <c r="AA114" s="2"/>
      <c r="AB114" s="2"/>
      <c r="AC114" s="2"/>
      <c r="AD114" s="2"/>
      <c r="AE114" s="2"/>
      <c r="AF114" s="2"/>
      <c r="AG114" s="2"/>
    </row>
    <row r="115" s="30" customFormat="true" ht="31.5" hidden="false" customHeight="false" outlineLevel="0" collapsed="false">
      <c r="A115" s="2"/>
      <c r="B115" s="2" t="s">
        <v>408</v>
      </c>
      <c r="C115" s="32" t="s">
        <v>179</v>
      </c>
      <c r="D115" s="32" t="n">
        <v>2005</v>
      </c>
      <c r="E115" s="20" t="s">
        <v>413</v>
      </c>
      <c r="F115" s="32" t="s">
        <v>51</v>
      </c>
      <c r="G115" s="3" t="s">
        <v>58</v>
      </c>
      <c r="H115" s="3" t="s">
        <v>47</v>
      </c>
      <c r="I115" s="3" t="s">
        <v>75</v>
      </c>
      <c r="J115" s="3" t="s">
        <v>75</v>
      </c>
      <c r="K115" s="3" t="s">
        <v>75</v>
      </c>
      <c r="L115" s="3" t="s">
        <v>75</v>
      </c>
      <c r="M115" s="3" t="s">
        <v>75</v>
      </c>
      <c r="N115" s="3" t="s">
        <v>53</v>
      </c>
      <c r="O115" s="32" t="s">
        <v>64</v>
      </c>
      <c r="P115" s="3" t="s">
        <v>55</v>
      </c>
      <c r="Q115" s="3" t="s">
        <v>56</v>
      </c>
      <c r="R115" s="3" t="s">
        <v>47</v>
      </c>
      <c r="S115" s="3" t="s">
        <v>53</v>
      </c>
      <c r="T115" s="3" t="s">
        <v>53</v>
      </c>
      <c r="U115" s="3" t="s">
        <v>47</v>
      </c>
      <c r="V115" s="4" t="s">
        <v>410</v>
      </c>
      <c r="W115" s="28" t="n">
        <f aca="false">'Deng data'!F9</f>
        <v>15</v>
      </c>
      <c r="X115" s="63"/>
      <c r="Y115" s="63"/>
      <c r="Z115" s="63"/>
      <c r="AA115" s="2"/>
      <c r="AB115" s="2"/>
      <c r="AC115" s="2"/>
      <c r="AD115" s="2"/>
      <c r="AE115" s="2"/>
      <c r="AF115" s="2"/>
      <c r="AG115" s="2"/>
    </row>
    <row r="116" s="30" customFormat="true" ht="31.5" hidden="false" customHeight="false" outlineLevel="0" collapsed="false">
      <c r="A116" s="2"/>
      <c r="B116" s="35" t="s">
        <v>219</v>
      </c>
      <c r="C116" s="27" t="s">
        <v>220</v>
      </c>
      <c r="D116" s="3" t="n">
        <v>2002</v>
      </c>
      <c r="E116" s="20" t="s">
        <v>221</v>
      </c>
      <c r="F116" s="27" t="s">
        <v>45</v>
      </c>
      <c r="G116" s="32" t="s">
        <v>52</v>
      </c>
      <c r="H116" s="32" t="s">
        <v>47</v>
      </c>
      <c r="I116" s="32" t="s">
        <v>47</v>
      </c>
      <c r="J116" s="32" t="s">
        <v>75</v>
      </c>
      <c r="K116" s="32" t="n">
        <v>200</v>
      </c>
      <c r="L116" s="32" t="s">
        <v>47</v>
      </c>
      <c r="M116" s="32" t="s">
        <v>75</v>
      </c>
      <c r="N116" s="32" t="s">
        <v>47</v>
      </c>
      <c r="O116" s="32" t="s">
        <v>338</v>
      </c>
      <c r="P116" s="32" t="s">
        <v>174</v>
      </c>
      <c r="Q116" s="32" t="s">
        <v>50</v>
      </c>
      <c r="R116" s="32" t="s">
        <v>53</v>
      </c>
      <c r="S116" s="32" t="s">
        <v>47</v>
      </c>
      <c r="T116" s="32" t="s">
        <v>47</v>
      </c>
      <c r="U116" s="32" t="s">
        <v>47</v>
      </c>
      <c r="V116" s="36" t="s">
        <v>414</v>
      </c>
      <c r="W116" s="28" t="n">
        <f aca="false">'Williams data'!E6</f>
        <v>25.66875</v>
      </c>
      <c r="X116" s="2"/>
      <c r="Y116" s="2"/>
      <c r="Z116" s="64"/>
      <c r="AA116" s="26"/>
      <c r="AB116" s="26"/>
      <c r="AD116" s="55"/>
      <c r="AE116" s="32"/>
      <c r="AF116" s="32"/>
      <c r="AG116" s="65"/>
    </row>
    <row r="117" s="30" customFormat="true" ht="31.5" hidden="false" customHeight="false" outlineLevel="0" collapsed="false">
      <c r="A117" s="2"/>
      <c r="B117" s="35" t="s">
        <v>219</v>
      </c>
      <c r="C117" s="27" t="s">
        <v>220</v>
      </c>
      <c r="D117" s="3" t="n">
        <v>1999</v>
      </c>
      <c r="E117" s="20" t="s">
        <v>221</v>
      </c>
      <c r="F117" s="32" t="s">
        <v>51</v>
      </c>
      <c r="G117" s="32" t="s">
        <v>58</v>
      </c>
      <c r="H117" s="32" t="s">
        <v>47</v>
      </c>
      <c r="I117" s="32" t="s">
        <v>75</v>
      </c>
      <c r="J117" s="32" t="s">
        <v>75</v>
      </c>
      <c r="K117" s="32" t="n">
        <v>150</v>
      </c>
      <c r="L117" s="32" t="s">
        <v>75</v>
      </c>
      <c r="M117" s="32" t="s">
        <v>75</v>
      </c>
      <c r="N117" s="32" t="s">
        <v>53</v>
      </c>
      <c r="O117" s="32" t="s">
        <v>54</v>
      </c>
      <c r="P117" s="32" t="s">
        <v>55</v>
      </c>
      <c r="Q117" s="32" t="s">
        <v>56</v>
      </c>
      <c r="R117" s="32" t="s">
        <v>47</v>
      </c>
      <c r="S117" s="32" t="s">
        <v>53</v>
      </c>
      <c r="T117" s="32" t="s">
        <v>53</v>
      </c>
      <c r="U117" s="32" t="s">
        <v>47</v>
      </c>
      <c r="V117" s="36"/>
      <c r="W117" s="28" t="n">
        <f aca="false">'Williams data'!E7</f>
        <v>16.4819277108434</v>
      </c>
      <c r="X117" s="2"/>
      <c r="Y117" s="2"/>
      <c r="Z117" s="64"/>
      <c r="AA117" s="26"/>
      <c r="AB117" s="26"/>
      <c r="AD117" s="55"/>
      <c r="AE117" s="32"/>
      <c r="AF117" s="32"/>
      <c r="AG117" s="65"/>
    </row>
    <row r="118" s="30" customFormat="true" ht="31.5" hidden="false" customHeight="false" outlineLevel="0" collapsed="false">
      <c r="A118" s="2"/>
      <c r="B118" s="35" t="s">
        <v>219</v>
      </c>
      <c r="C118" s="27" t="s">
        <v>220</v>
      </c>
      <c r="D118" s="3" t="n">
        <v>1997</v>
      </c>
      <c r="E118" s="20" t="s">
        <v>221</v>
      </c>
      <c r="F118" s="32" t="s">
        <v>51</v>
      </c>
      <c r="G118" s="32" t="s">
        <v>58</v>
      </c>
      <c r="H118" s="32" t="s">
        <v>47</v>
      </c>
      <c r="I118" s="32" t="s">
        <v>75</v>
      </c>
      <c r="J118" s="32" t="s">
        <v>75</v>
      </c>
      <c r="K118" s="32" t="n">
        <v>150</v>
      </c>
      <c r="L118" s="32" t="s">
        <v>75</v>
      </c>
      <c r="M118" s="32" t="s">
        <v>75</v>
      </c>
      <c r="N118" s="32" t="s">
        <v>53</v>
      </c>
      <c r="O118" s="32" t="s">
        <v>64</v>
      </c>
      <c r="P118" s="32" t="s">
        <v>55</v>
      </c>
      <c r="Q118" s="32" t="s">
        <v>56</v>
      </c>
      <c r="R118" s="32" t="s">
        <v>47</v>
      </c>
      <c r="S118" s="32" t="s">
        <v>53</v>
      </c>
      <c r="T118" s="32" t="s">
        <v>53</v>
      </c>
      <c r="U118" s="32" t="s">
        <v>47</v>
      </c>
      <c r="V118" s="36"/>
      <c r="W118" s="28" t="n">
        <f aca="false">'Williams data'!E8</f>
        <v>15.6144578313253</v>
      </c>
      <c r="X118" s="2"/>
      <c r="Y118" s="2"/>
      <c r="Z118" s="64"/>
      <c r="AA118" s="26"/>
      <c r="AB118" s="26"/>
      <c r="AD118" s="55"/>
      <c r="AE118" s="32"/>
      <c r="AF118" s="32"/>
      <c r="AG118" s="65"/>
    </row>
    <row r="119" s="30" customFormat="true" ht="31.5" hidden="false" customHeight="false" outlineLevel="0" collapsed="false">
      <c r="A119" s="2"/>
      <c r="B119" s="35" t="s">
        <v>219</v>
      </c>
      <c r="C119" s="27" t="s">
        <v>220</v>
      </c>
      <c r="D119" s="3" t="n">
        <v>1997</v>
      </c>
      <c r="E119" s="20" t="s">
        <v>221</v>
      </c>
      <c r="F119" s="32" t="s">
        <v>51</v>
      </c>
      <c r="G119" s="32" t="s">
        <v>58</v>
      </c>
      <c r="H119" s="32" t="s">
        <v>47</v>
      </c>
      <c r="I119" s="32" t="s">
        <v>75</v>
      </c>
      <c r="J119" s="32" t="s">
        <v>75</v>
      </c>
      <c r="K119" s="32" t="n">
        <v>150</v>
      </c>
      <c r="L119" s="32" t="s">
        <v>75</v>
      </c>
      <c r="M119" s="32" t="s">
        <v>75</v>
      </c>
      <c r="N119" s="32" t="s">
        <v>53</v>
      </c>
      <c r="O119" s="32" t="s">
        <v>64</v>
      </c>
      <c r="P119" s="32" t="s">
        <v>55</v>
      </c>
      <c r="Q119" s="32" t="s">
        <v>56</v>
      </c>
      <c r="R119" s="32" t="s">
        <v>47</v>
      </c>
      <c r="S119" s="32" t="s">
        <v>53</v>
      </c>
      <c r="T119" s="32" t="s">
        <v>53</v>
      </c>
      <c r="U119" s="32" t="s">
        <v>47</v>
      </c>
      <c r="V119" s="36"/>
      <c r="W119" s="28" t="n">
        <f aca="false">'Williams data'!E9</f>
        <v>17.3493975903614</v>
      </c>
      <c r="X119" s="2"/>
      <c r="Y119" s="2"/>
      <c r="Z119" s="64"/>
      <c r="AA119" s="26"/>
      <c r="AB119" s="26"/>
      <c r="AD119" s="55"/>
      <c r="AE119" s="32"/>
      <c r="AF119" s="32"/>
      <c r="AG119" s="65"/>
    </row>
    <row r="120" s="30" customFormat="true" ht="47.25" hidden="false" customHeight="false" outlineLevel="0" collapsed="false">
      <c r="A120" s="2"/>
      <c r="B120" s="2" t="s">
        <v>415</v>
      </c>
      <c r="C120" s="3" t="s">
        <v>416</v>
      </c>
      <c r="D120" s="3" t="n">
        <v>2008</v>
      </c>
      <c r="E120" s="48" t="s">
        <v>417</v>
      </c>
      <c r="F120" s="32" t="s">
        <v>45</v>
      </c>
      <c r="G120" s="3" t="s">
        <v>46</v>
      </c>
      <c r="H120" s="3" t="s">
        <v>47</v>
      </c>
      <c r="I120" s="3" t="s">
        <v>53</v>
      </c>
      <c r="J120" s="3" t="n">
        <v>130</v>
      </c>
      <c r="K120" s="3" t="n">
        <v>300</v>
      </c>
      <c r="L120" s="3" t="s">
        <v>47</v>
      </c>
      <c r="M120" s="3" t="s">
        <v>47</v>
      </c>
      <c r="N120" s="3" t="s">
        <v>47</v>
      </c>
      <c r="O120" s="3" t="s">
        <v>54</v>
      </c>
      <c r="P120" s="3" t="s">
        <v>55</v>
      </c>
      <c r="Q120" s="32" t="s">
        <v>61</v>
      </c>
      <c r="R120" s="3" t="s">
        <v>47</v>
      </c>
      <c r="S120" s="3" t="s">
        <v>53</v>
      </c>
      <c r="T120" s="3" t="s">
        <v>47</v>
      </c>
      <c r="U120" s="3" t="s">
        <v>47</v>
      </c>
      <c r="V120" s="4"/>
      <c r="W120" s="33" t="n">
        <f aca="false">'Krishnan data'!C22</f>
        <v>26.8312161377987</v>
      </c>
    </row>
    <row r="121" s="30" customFormat="true" ht="47.25" hidden="false" customHeight="false" outlineLevel="0" collapsed="false">
      <c r="A121" s="2"/>
      <c r="B121" s="35" t="s">
        <v>178</v>
      </c>
      <c r="C121" s="3" t="s">
        <v>179</v>
      </c>
      <c r="D121" s="3" t="n">
        <f aca="false">'Deng data'!K8</f>
        <v>2005</v>
      </c>
      <c r="E121" s="48" t="s">
        <v>418</v>
      </c>
      <c r="F121" s="32" t="s">
        <v>51</v>
      </c>
      <c r="G121" s="3" t="s">
        <v>46</v>
      </c>
      <c r="H121" s="3" t="s">
        <v>47</v>
      </c>
      <c r="I121" s="3" t="s">
        <v>53</v>
      </c>
      <c r="J121" s="3" t="s">
        <v>75</v>
      </c>
      <c r="K121" s="3" t="s">
        <v>75</v>
      </c>
      <c r="L121" s="3" t="s">
        <v>104</v>
      </c>
      <c r="M121" s="3" t="s">
        <v>75</v>
      </c>
      <c r="N121" s="3" t="s">
        <v>53</v>
      </c>
      <c r="O121" s="3" t="s">
        <v>54</v>
      </c>
      <c r="P121" s="3" t="s">
        <v>55</v>
      </c>
      <c r="Q121" s="32" t="s">
        <v>56</v>
      </c>
      <c r="R121" s="3" t="s">
        <v>47</v>
      </c>
      <c r="S121" s="3" t="s">
        <v>53</v>
      </c>
      <c r="T121" s="3" t="s">
        <v>53</v>
      </c>
      <c r="U121" s="3" t="s">
        <v>47</v>
      </c>
      <c r="V121" s="4" t="s">
        <v>419</v>
      </c>
      <c r="W121" s="49" t="n">
        <f aca="false">'Deng data'!N8</f>
        <v>15.8313253012048</v>
      </c>
    </row>
    <row r="122" s="30" customFormat="true" ht="47.25" hidden="false" customHeight="false" outlineLevel="0" collapsed="false">
      <c r="A122" s="2"/>
      <c r="B122" s="35" t="s">
        <v>178</v>
      </c>
      <c r="C122" s="3" t="s">
        <v>179</v>
      </c>
      <c r="D122" s="3" t="n">
        <f aca="false">'Deng data'!K9</f>
        <v>2004</v>
      </c>
      <c r="E122" s="48" t="s">
        <v>420</v>
      </c>
      <c r="F122" s="32" t="s">
        <v>51</v>
      </c>
      <c r="G122" s="3" t="s">
        <v>46</v>
      </c>
      <c r="H122" s="3" t="s">
        <v>47</v>
      </c>
      <c r="I122" s="3" t="s">
        <v>53</v>
      </c>
      <c r="J122" s="3" t="s">
        <v>75</v>
      </c>
      <c r="K122" s="3" t="s">
        <v>75</v>
      </c>
      <c r="L122" s="3" t="s">
        <v>104</v>
      </c>
      <c r="M122" s="3" t="s">
        <v>75</v>
      </c>
      <c r="N122" s="3" t="s">
        <v>53</v>
      </c>
      <c r="O122" s="3" t="s">
        <v>54</v>
      </c>
      <c r="P122" s="3" t="s">
        <v>55</v>
      </c>
      <c r="Q122" s="32" t="s">
        <v>56</v>
      </c>
      <c r="R122" s="3" t="s">
        <v>47</v>
      </c>
      <c r="S122" s="3" t="s">
        <v>53</v>
      </c>
      <c r="T122" s="3" t="s">
        <v>53</v>
      </c>
      <c r="U122" s="3" t="s">
        <v>47</v>
      </c>
      <c r="V122" s="4" t="s">
        <v>419</v>
      </c>
      <c r="W122" s="49" t="n">
        <f aca="false">'Deng data'!N9</f>
        <v>15.3975903614458</v>
      </c>
    </row>
    <row r="123" s="30" customFormat="true" ht="47.25" hidden="false" customHeight="false" outlineLevel="0" collapsed="false">
      <c r="A123" s="2"/>
      <c r="B123" s="35" t="s">
        <v>178</v>
      </c>
      <c r="C123" s="3" t="s">
        <v>179</v>
      </c>
      <c r="D123" s="3" t="n">
        <f aca="false">'Deng data'!K10</f>
        <v>2003</v>
      </c>
      <c r="E123" s="48" t="s">
        <v>421</v>
      </c>
      <c r="F123" s="32" t="s">
        <v>51</v>
      </c>
      <c r="G123" s="3" t="s">
        <v>46</v>
      </c>
      <c r="H123" s="3" t="s">
        <v>47</v>
      </c>
      <c r="I123" s="3" t="s">
        <v>53</v>
      </c>
      <c r="J123" s="3" t="s">
        <v>75</v>
      </c>
      <c r="K123" s="3" t="s">
        <v>75</v>
      </c>
      <c r="L123" s="3" t="s">
        <v>104</v>
      </c>
      <c r="M123" s="3" t="s">
        <v>75</v>
      </c>
      <c r="N123" s="3" t="s">
        <v>53</v>
      </c>
      <c r="O123" s="3" t="s">
        <v>54</v>
      </c>
      <c r="P123" s="3" t="s">
        <v>55</v>
      </c>
      <c r="Q123" s="32" t="s">
        <v>56</v>
      </c>
      <c r="R123" s="3" t="s">
        <v>47</v>
      </c>
      <c r="S123" s="3" t="s">
        <v>53</v>
      </c>
      <c r="T123" s="3" t="s">
        <v>53</v>
      </c>
      <c r="U123" s="3" t="s">
        <v>47</v>
      </c>
      <c r="V123" s="4" t="s">
        <v>419</v>
      </c>
      <c r="W123" s="49" t="n">
        <f aca="false">'Deng data'!N10</f>
        <v>19.4096385542169</v>
      </c>
    </row>
    <row r="124" s="30" customFormat="true" ht="47.25" hidden="false" customHeight="false" outlineLevel="0" collapsed="false">
      <c r="A124" s="2"/>
      <c r="B124" s="35" t="s">
        <v>178</v>
      </c>
      <c r="C124" s="3" t="s">
        <v>179</v>
      </c>
      <c r="D124" s="3" t="n">
        <f aca="false">'Deng data'!K11</f>
        <v>2002</v>
      </c>
      <c r="E124" s="48" t="s">
        <v>422</v>
      </c>
      <c r="F124" s="32" t="s">
        <v>51</v>
      </c>
      <c r="G124" s="3" t="s">
        <v>46</v>
      </c>
      <c r="H124" s="3" t="s">
        <v>47</v>
      </c>
      <c r="I124" s="3" t="s">
        <v>53</v>
      </c>
      <c r="J124" s="3" t="s">
        <v>75</v>
      </c>
      <c r="K124" s="3" t="s">
        <v>75</v>
      </c>
      <c r="L124" s="3" t="s">
        <v>104</v>
      </c>
      <c r="M124" s="3" t="s">
        <v>75</v>
      </c>
      <c r="N124" s="3" t="s">
        <v>53</v>
      </c>
      <c r="O124" s="3" t="s">
        <v>54</v>
      </c>
      <c r="P124" s="3" t="s">
        <v>55</v>
      </c>
      <c r="Q124" s="32" t="s">
        <v>56</v>
      </c>
      <c r="R124" s="3" t="s">
        <v>47</v>
      </c>
      <c r="S124" s="3" t="s">
        <v>53</v>
      </c>
      <c r="T124" s="3" t="s">
        <v>53</v>
      </c>
      <c r="U124" s="3" t="s">
        <v>47</v>
      </c>
      <c r="V124" s="4" t="s">
        <v>419</v>
      </c>
      <c r="W124" s="49" t="n">
        <f aca="false">'Deng data'!N11</f>
        <v>19.8433734939759</v>
      </c>
    </row>
    <row r="125" s="30" customFormat="true" ht="47.25" hidden="false" customHeight="false" outlineLevel="0" collapsed="false">
      <c r="A125" s="2"/>
      <c r="B125" s="35" t="s">
        <v>178</v>
      </c>
      <c r="C125" s="3" t="s">
        <v>179</v>
      </c>
      <c r="D125" s="3" t="n">
        <f aca="false">'Deng data'!K12</f>
        <v>2001</v>
      </c>
      <c r="E125" s="48" t="s">
        <v>423</v>
      </c>
      <c r="F125" s="32" t="s">
        <v>51</v>
      </c>
      <c r="G125" s="3" t="s">
        <v>46</v>
      </c>
      <c r="H125" s="3" t="s">
        <v>47</v>
      </c>
      <c r="I125" s="3" t="s">
        <v>53</v>
      </c>
      <c r="J125" s="3" t="s">
        <v>75</v>
      </c>
      <c r="K125" s="3" t="s">
        <v>75</v>
      </c>
      <c r="L125" s="3" t="s">
        <v>104</v>
      </c>
      <c r="M125" s="3" t="s">
        <v>75</v>
      </c>
      <c r="N125" s="3" t="s">
        <v>53</v>
      </c>
      <c r="O125" s="3" t="s">
        <v>54</v>
      </c>
      <c r="P125" s="3" t="s">
        <v>55</v>
      </c>
      <c r="Q125" s="32" t="s">
        <v>56</v>
      </c>
      <c r="R125" s="3" t="s">
        <v>47</v>
      </c>
      <c r="S125" s="3" t="s">
        <v>53</v>
      </c>
      <c r="T125" s="3" t="s">
        <v>53</v>
      </c>
      <c r="U125" s="3" t="s">
        <v>47</v>
      </c>
      <c r="V125" s="4" t="s">
        <v>419</v>
      </c>
      <c r="W125" s="49" t="n">
        <f aca="false">'Deng data'!N12</f>
        <v>18.7590361445783</v>
      </c>
    </row>
    <row r="126" s="30" customFormat="true" ht="47.25" hidden="false" customHeight="false" outlineLevel="0" collapsed="false">
      <c r="A126" s="2"/>
      <c r="B126" s="35" t="s">
        <v>178</v>
      </c>
      <c r="C126" s="3" t="s">
        <v>179</v>
      </c>
      <c r="D126" s="3" t="n">
        <f aca="false">'Deng data'!K13</f>
        <v>2000</v>
      </c>
      <c r="E126" s="48" t="s">
        <v>424</v>
      </c>
      <c r="F126" s="32" t="s">
        <v>51</v>
      </c>
      <c r="G126" s="3" t="s">
        <v>46</v>
      </c>
      <c r="H126" s="3" t="s">
        <v>47</v>
      </c>
      <c r="I126" s="3" t="s">
        <v>53</v>
      </c>
      <c r="J126" s="3" t="s">
        <v>75</v>
      </c>
      <c r="K126" s="3" t="s">
        <v>75</v>
      </c>
      <c r="L126" s="3" t="s">
        <v>104</v>
      </c>
      <c r="M126" s="3" t="s">
        <v>75</v>
      </c>
      <c r="N126" s="3" t="s">
        <v>53</v>
      </c>
      <c r="O126" s="3" t="s">
        <v>54</v>
      </c>
      <c r="P126" s="3" t="s">
        <v>55</v>
      </c>
      <c r="Q126" s="32" t="s">
        <v>56</v>
      </c>
      <c r="R126" s="3" t="s">
        <v>47</v>
      </c>
      <c r="S126" s="3" t="s">
        <v>53</v>
      </c>
      <c r="T126" s="3" t="s">
        <v>53</v>
      </c>
      <c r="U126" s="3" t="s">
        <v>47</v>
      </c>
      <c r="V126" s="4" t="s">
        <v>419</v>
      </c>
      <c r="W126" s="49" t="n">
        <f aca="false">'Deng data'!N13</f>
        <v>13.3373493975904</v>
      </c>
    </row>
    <row r="127" s="30" customFormat="true" ht="47.25" hidden="false" customHeight="false" outlineLevel="0" collapsed="false">
      <c r="A127" s="2"/>
      <c r="B127" s="35" t="s">
        <v>178</v>
      </c>
      <c r="C127" s="3" t="s">
        <v>179</v>
      </c>
      <c r="D127" s="3" t="n">
        <f aca="false">'Deng data'!K14</f>
        <v>1999</v>
      </c>
      <c r="E127" s="48" t="s">
        <v>425</v>
      </c>
      <c r="F127" s="32" t="s">
        <v>51</v>
      </c>
      <c r="G127" s="3" t="s">
        <v>46</v>
      </c>
      <c r="H127" s="3" t="s">
        <v>47</v>
      </c>
      <c r="I127" s="3" t="s">
        <v>53</v>
      </c>
      <c r="J127" s="3" t="s">
        <v>75</v>
      </c>
      <c r="K127" s="3" t="s">
        <v>75</v>
      </c>
      <c r="L127" s="3" t="s">
        <v>104</v>
      </c>
      <c r="M127" s="3" t="s">
        <v>75</v>
      </c>
      <c r="N127" s="3" t="s">
        <v>53</v>
      </c>
      <c r="O127" s="3" t="s">
        <v>54</v>
      </c>
      <c r="P127" s="3" t="s">
        <v>55</v>
      </c>
      <c r="Q127" s="32" t="s">
        <v>56</v>
      </c>
      <c r="R127" s="3" t="s">
        <v>47</v>
      </c>
      <c r="S127" s="3" t="s">
        <v>53</v>
      </c>
      <c r="T127" s="3" t="s">
        <v>53</v>
      </c>
      <c r="U127" s="3" t="s">
        <v>47</v>
      </c>
      <c r="V127" s="4" t="s">
        <v>419</v>
      </c>
      <c r="W127" s="49" t="n">
        <f aca="false">'Deng data'!N14</f>
        <v>15.7228915662651</v>
      </c>
    </row>
    <row r="128" s="30" customFormat="true" ht="47.25" hidden="false" customHeight="false" outlineLevel="0" collapsed="false">
      <c r="A128" s="2"/>
      <c r="B128" s="35" t="s">
        <v>178</v>
      </c>
      <c r="C128" s="3" t="s">
        <v>179</v>
      </c>
      <c r="D128" s="3" t="n">
        <f aca="false">'Deng data'!K15</f>
        <v>1998</v>
      </c>
      <c r="E128" s="48" t="s">
        <v>426</v>
      </c>
      <c r="F128" s="32" t="s">
        <v>51</v>
      </c>
      <c r="G128" s="3" t="s">
        <v>46</v>
      </c>
      <c r="H128" s="3" t="s">
        <v>47</v>
      </c>
      <c r="I128" s="3" t="s">
        <v>53</v>
      </c>
      <c r="J128" s="3" t="s">
        <v>75</v>
      </c>
      <c r="K128" s="3" t="s">
        <v>75</v>
      </c>
      <c r="L128" s="3" t="s">
        <v>104</v>
      </c>
      <c r="M128" s="3" t="s">
        <v>75</v>
      </c>
      <c r="N128" s="3" t="s">
        <v>53</v>
      </c>
      <c r="O128" s="3" t="s">
        <v>54</v>
      </c>
      <c r="P128" s="3" t="s">
        <v>55</v>
      </c>
      <c r="Q128" s="32" t="s">
        <v>56</v>
      </c>
      <c r="R128" s="3" t="s">
        <v>47</v>
      </c>
      <c r="S128" s="3" t="s">
        <v>53</v>
      </c>
      <c r="T128" s="3" t="s">
        <v>53</v>
      </c>
      <c r="U128" s="3" t="s">
        <v>47</v>
      </c>
      <c r="V128" s="4" t="s">
        <v>419</v>
      </c>
      <c r="W128" s="49" t="n">
        <f aca="false">'Deng data'!N15</f>
        <v>18.433734939759</v>
      </c>
    </row>
    <row r="129" s="30" customFormat="true" ht="47.25" hidden="false" customHeight="false" outlineLevel="0" collapsed="false">
      <c r="A129" s="2"/>
      <c r="B129" s="35" t="s">
        <v>178</v>
      </c>
      <c r="C129" s="3" t="s">
        <v>179</v>
      </c>
      <c r="D129" s="3" t="n">
        <f aca="false">'Deng data'!K16</f>
        <v>1997</v>
      </c>
      <c r="E129" s="48" t="s">
        <v>427</v>
      </c>
      <c r="F129" s="32" t="s">
        <v>51</v>
      </c>
      <c r="G129" s="3" t="s">
        <v>46</v>
      </c>
      <c r="H129" s="3" t="s">
        <v>47</v>
      </c>
      <c r="I129" s="3" t="s">
        <v>53</v>
      </c>
      <c r="J129" s="3" t="s">
        <v>75</v>
      </c>
      <c r="K129" s="3" t="s">
        <v>75</v>
      </c>
      <c r="L129" s="3" t="s">
        <v>104</v>
      </c>
      <c r="M129" s="3" t="s">
        <v>75</v>
      </c>
      <c r="N129" s="3" t="s">
        <v>53</v>
      </c>
      <c r="O129" s="3" t="s">
        <v>54</v>
      </c>
      <c r="P129" s="3" t="s">
        <v>55</v>
      </c>
      <c r="Q129" s="32" t="s">
        <v>56</v>
      </c>
      <c r="R129" s="3" t="s">
        <v>47</v>
      </c>
      <c r="S129" s="3" t="s">
        <v>53</v>
      </c>
      <c r="T129" s="3" t="s">
        <v>53</v>
      </c>
      <c r="U129" s="3" t="s">
        <v>47</v>
      </c>
      <c r="V129" s="4" t="s">
        <v>419</v>
      </c>
      <c r="W129" s="49" t="n">
        <f aca="false">'Deng data'!N16</f>
        <v>18.1084337349398</v>
      </c>
    </row>
    <row r="130" s="30" customFormat="true" ht="47.25" hidden="false" customHeight="false" outlineLevel="0" collapsed="false">
      <c r="A130" s="2"/>
      <c r="B130" s="35" t="s">
        <v>178</v>
      </c>
      <c r="C130" s="3" t="s">
        <v>179</v>
      </c>
      <c r="D130" s="3" t="n">
        <f aca="false">'Deng data'!K17</f>
        <v>1996</v>
      </c>
      <c r="E130" s="48" t="s">
        <v>428</v>
      </c>
      <c r="F130" s="32" t="s">
        <v>51</v>
      </c>
      <c r="G130" s="3" t="s">
        <v>46</v>
      </c>
      <c r="H130" s="3" t="s">
        <v>47</v>
      </c>
      <c r="I130" s="3" t="s">
        <v>53</v>
      </c>
      <c r="J130" s="3" t="s">
        <v>75</v>
      </c>
      <c r="K130" s="3" t="s">
        <v>75</v>
      </c>
      <c r="L130" s="3" t="s">
        <v>104</v>
      </c>
      <c r="M130" s="3" t="s">
        <v>75</v>
      </c>
      <c r="N130" s="3" t="s">
        <v>53</v>
      </c>
      <c r="O130" s="3" t="s">
        <v>54</v>
      </c>
      <c r="P130" s="3" t="s">
        <v>55</v>
      </c>
      <c r="Q130" s="32" t="s">
        <v>56</v>
      </c>
      <c r="R130" s="3" t="s">
        <v>47</v>
      </c>
      <c r="S130" s="3" t="s">
        <v>53</v>
      </c>
      <c r="T130" s="3" t="s">
        <v>53</v>
      </c>
      <c r="U130" s="3" t="s">
        <v>47</v>
      </c>
      <c r="V130" s="4" t="s">
        <v>419</v>
      </c>
      <c r="W130" s="49" t="n">
        <f aca="false">'Deng data'!N17</f>
        <v>15.8313253012048</v>
      </c>
    </row>
    <row r="131" s="30" customFormat="true" ht="47.25" hidden="false" customHeight="false" outlineLevel="0" collapsed="false">
      <c r="A131" s="2"/>
      <c r="B131" s="35" t="s">
        <v>178</v>
      </c>
      <c r="C131" s="3" t="s">
        <v>179</v>
      </c>
      <c r="D131" s="3" t="n">
        <f aca="false">'Deng data'!K18</f>
        <v>1995</v>
      </c>
      <c r="E131" s="48" t="s">
        <v>429</v>
      </c>
      <c r="F131" s="32" t="s">
        <v>51</v>
      </c>
      <c r="G131" s="3" t="s">
        <v>46</v>
      </c>
      <c r="H131" s="3" t="s">
        <v>47</v>
      </c>
      <c r="I131" s="3" t="s">
        <v>53</v>
      </c>
      <c r="J131" s="3" t="s">
        <v>75</v>
      </c>
      <c r="K131" s="3" t="s">
        <v>75</v>
      </c>
      <c r="L131" s="3" t="s">
        <v>104</v>
      </c>
      <c r="M131" s="3" t="s">
        <v>75</v>
      </c>
      <c r="N131" s="3" t="s">
        <v>53</v>
      </c>
      <c r="O131" s="3" t="s">
        <v>54</v>
      </c>
      <c r="P131" s="3" t="s">
        <v>55</v>
      </c>
      <c r="Q131" s="32" t="s">
        <v>56</v>
      </c>
      <c r="R131" s="3" t="s">
        <v>47</v>
      </c>
      <c r="S131" s="3" t="s">
        <v>53</v>
      </c>
      <c r="T131" s="3" t="s">
        <v>53</v>
      </c>
      <c r="U131" s="3" t="s">
        <v>47</v>
      </c>
      <c r="V131" s="4" t="s">
        <v>419</v>
      </c>
      <c r="W131" s="49" t="n">
        <f aca="false">'Deng data'!N18</f>
        <v>15.7228915662651</v>
      </c>
    </row>
    <row r="132" s="30" customFormat="true" ht="47.25" hidden="false" customHeight="false" outlineLevel="0" collapsed="false">
      <c r="A132" s="2"/>
      <c r="B132" s="35" t="s">
        <v>178</v>
      </c>
      <c r="C132" s="3" t="s">
        <v>179</v>
      </c>
      <c r="D132" s="3" t="n">
        <f aca="false">'Deng data'!K9</f>
        <v>2004</v>
      </c>
      <c r="E132" s="48" t="s">
        <v>429</v>
      </c>
      <c r="F132" s="32" t="s">
        <v>51</v>
      </c>
      <c r="G132" s="3" t="s">
        <v>46</v>
      </c>
      <c r="H132" s="3" t="s">
        <v>47</v>
      </c>
      <c r="I132" s="3" t="s">
        <v>53</v>
      </c>
      <c r="J132" s="3" t="s">
        <v>75</v>
      </c>
      <c r="K132" s="3" t="s">
        <v>75</v>
      </c>
      <c r="L132" s="3" t="s">
        <v>104</v>
      </c>
      <c r="M132" s="3" t="s">
        <v>75</v>
      </c>
      <c r="N132" s="3" t="s">
        <v>53</v>
      </c>
      <c r="O132" s="3" t="s">
        <v>202</v>
      </c>
      <c r="P132" s="3" t="s">
        <v>55</v>
      </c>
      <c r="Q132" s="32" t="s">
        <v>56</v>
      </c>
      <c r="R132" s="3" t="s">
        <v>47</v>
      </c>
      <c r="S132" s="3" t="s">
        <v>53</v>
      </c>
      <c r="T132" s="3" t="s">
        <v>53</v>
      </c>
      <c r="U132" s="3" t="s">
        <v>47</v>
      </c>
      <c r="V132" s="4" t="s">
        <v>430</v>
      </c>
      <c r="W132" s="49" t="n">
        <f aca="false">'Deng data'!O9</f>
        <v>17.4578313253012</v>
      </c>
      <c r="X132" s="66"/>
    </row>
    <row r="133" s="30" customFormat="true" ht="47.25" hidden="false" customHeight="false" outlineLevel="0" collapsed="false">
      <c r="A133" s="2"/>
      <c r="B133" s="35" t="s">
        <v>178</v>
      </c>
      <c r="C133" s="3" t="s">
        <v>179</v>
      </c>
      <c r="D133" s="3" t="n">
        <f aca="false">'Deng data'!K10</f>
        <v>2003</v>
      </c>
      <c r="E133" s="48" t="s">
        <v>431</v>
      </c>
      <c r="F133" s="32" t="s">
        <v>51</v>
      </c>
      <c r="G133" s="3" t="s">
        <v>46</v>
      </c>
      <c r="H133" s="3" t="s">
        <v>47</v>
      </c>
      <c r="I133" s="3" t="s">
        <v>53</v>
      </c>
      <c r="J133" s="3" t="s">
        <v>75</v>
      </c>
      <c r="K133" s="3" t="s">
        <v>75</v>
      </c>
      <c r="L133" s="3" t="s">
        <v>104</v>
      </c>
      <c r="M133" s="3" t="s">
        <v>75</v>
      </c>
      <c r="N133" s="3" t="s">
        <v>53</v>
      </c>
      <c r="O133" s="3" t="s">
        <v>202</v>
      </c>
      <c r="P133" s="3" t="s">
        <v>55</v>
      </c>
      <c r="Q133" s="32" t="s">
        <v>56</v>
      </c>
      <c r="R133" s="3" t="s">
        <v>47</v>
      </c>
      <c r="S133" s="3" t="s">
        <v>53</v>
      </c>
      <c r="T133" s="3" t="s">
        <v>53</v>
      </c>
      <c r="U133" s="3" t="s">
        <v>47</v>
      </c>
      <c r="V133" s="4" t="s">
        <v>430</v>
      </c>
      <c r="W133" s="49" t="n">
        <f aca="false">'Deng data'!O10</f>
        <v>15.0722891566265</v>
      </c>
      <c r="X133" s="66"/>
    </row>
    <row r="134" s="30" customFormat="true" ht="47.25" hidden="false" customHeight="false" outlineLevel="0" collapsed="false">
      <c r="A134" s="2"/>
      <c r="B134" s="35" t="s">
        <v>178</v>
      </c>
      <c r="C134" s="3" t="s">
        <v>179</v>
      </c>
      <c r="D134" s="3" t="n">
        <f aca="false">'Deng data'!K11</f>
        <v>2002</v>
      </c>
      <c r="E134" s="48" t="s">
        <v>432</v>
      </c>
      <c r="F134" s="32" t="s">
        <v>51</v>
      </c>
      <c r="G134" s="3" t="s">
        <v>46</v>
      </c>
      <c r="H134" s="3" t="s">
        <v>47</v>
      </c>
      <c r="I134" s="3" t="s">
        <v>53</v>
      </c>
      <c r="J134" s="3" t="s">
        <v>75</v>
      </c>
      <c r="K134" s="3" t="s">
        <v>75</v>
      </c>
      <c r="L134" s="3" t="s">
        <v>104</v>
      </c>
      <c r="M134" s="3" t="s">
        <v>75</v>
      </c>
      <c r="N134" s="3" t="s">
        <v>53</v>
      </c>
      <c r="O134" s="3" t="s">
        <v>202</v>
      </c>
      <c r="P134" s="3" t="s">
        <v>55</v>
      </c>
      <c r="Q134" s="32" t="s">
        <v>56</v>
      </c>
      <c r="R134" s="3" t="s">
        <v>47</v>
      </c>
      <c r="S134" s="3" t="s">
        <v>53</v>
      </c>
      <c r="T134" s="3" t="s">
        <v>53</v>
      </c>
      <c r="U134" s="3" t="s">
        <v>47</v>
      </c>
      <c r="V134" s="4" t="s">
        <v>430</v>
      </c>
      <c r="W134" s="49" t="n">
        <f aca="false">'Deng data'!O11</f>
        <v>16.4819277108434</v>
      </c>
      <c r="X134" s="66"/>
    </row>
    <row r="135" s="30" customFormat="true" ht="47.25" hidden="false" customHeight="false" outlineLevel="0" collapsed="false">
      <c r="A135" s="2"/>
      <c r="B135" s="35" t="s">
        <v>178</v>
      </c>
      <c r="C135" s="3" t="s">
        <v>179</v>
      </c>
      <c r="D135" s="3" t="n">
        <f aca="false">'Deng data'!K12</f>
        <v>2001</v>
      </c>
      <c r="E135" s="48" t="s">
        <v>433</v>
      </c>
      <c r="F135" s="32" t="s">
        <v>51</v>
      </c>
      <c r="G135" s="3" t="s">
        <v>46</v>
      </c>
      <c r="H135" s="3" t="s">
        <v>47</v>
      </c>
      <c r="I135" s="3" t="s">
        <v>53</v>
      </c>
      <c r="J135" s="3" t="s">
        <v>75</v>
      </c>
      <c r="K135" s="3" t="s">
        <v>75</v>
      </c>
      <c r="L135" s="3" t="s">
        <v>104</v>
      </c>
      <c r="M135" s="3" t="s">
        <v>75</v>
      </c>
      <c r="N135" s="3" t="s">
        <v>53</v>
      </c>
      <c r="O135" s="3" t="s">
        <v>202</v>
      </c>
      <c r="P135" s="3" t="s">
        <v>55</v>
      </c>
      <c r="Q135" s="32" t="s">
        <v>56</v>
      </c>
      <c r="R135" s="3" t="s">
        <v>47</v>
      </c>
      <c r="S135" s="3" t="s">
        <v>53</v>
      </c>
      <c r="T135" s="3" t="s">
        <v>53</v>
      </c>
      <c r="U135" s="3" t="s">
        <v>47</v>
      </c>
      <c r="V135" s="4" t="s">
        <v>430</v>
      </c>
      <c r="W135" s="49" t="n">
        <f aca="false">'Deng data'!O12</f>
        <v>20.0602409638554</v>
      </c>
      <c r="X135" s="66"/>
    </row>
    <row r="136" s="30" customFormat="true" ht="47.25" hidden="false" customHeight="false" outlineLevel="0" collapsed="false">
      <c r="A136" s="2"/>
      <c r="B136" s="35" t="s">
        <v>178</v>
      </c>
      <c r="C136" s="3" t="s">
        <v>179</v>
      </c>
      <c r="D136" s="3" t="n">
        <f aca="false">'Deng data'!K13</f>
        <v>2000</v>
      </c>
      <c r="E136" s="48" t="s">
        <v>434</v>
      </c>
      <c r="F136" s="32" t="s">
        <v>51</v>
      </c>
      <c r="G136" s="3" t="s">
        <v>46</v>
      </c>
      <c r="H136" s="3" t="s">
        <v>47</v>
      </c>
      <c r="I136" s="3" t="s">
        <v>53</v>
      </c>
      <c r="J136" s="3" t="s">
        <v>75</v>
      </c>
      <c r="K136" s="3" t="s">
        <v>75</v>
      </c>
      <c r="L136" s="3" t="s">
        <v>104</v>
      </c>
      <c r="M136" s="3" t="s">
        <v>75</v>
      </c>
      <c r="N136" s="3" t="s">
        <v>53</v>
      </c>
      <c r="O136" s="3" t="s">
        <v>202</v>
      </c>
      <c r="P136" s="3" t="s">
        <v>55</v>
      </c>
      <c r="Q136" s="32" t="s">
        <v>56</v>
      </c>
      <c r="R136" s="3" t="s">
        <v>47</v>
      </c>
      <c r="S136" s="3" t="s">
        <v>53</v>
      </c>
      <c r="T136" s="3" t="s">
        <v>53</v>
      </c>
      <c r="U136" s="3" t="s">
        <v>47</v>
      </c>
      <c r="V136" s="4" t="s">
        <v>430</v>
      </c>
      <c r="W136" s="49" t="n">
        <f aca="false">'Deng data'!O13</f>
        <v>20.6024096385542</v>
      </c>
      <c r="X136" s="66"/>
    </row>
    <row r="137" s="30" customFormat="true" ht="47.25" hidden="false" customHeight="false" outlineLevel="0" collapsed="false">
      <c r="A137" s="2"/>
      <c r="B137" s="35" t="s">
        <v>178</v>
      </c>
      <c r="C137" s="3" t="s">
        <v>179</v>
      </c>
      <c r="D137" s="3" t="n">
        <f aca="false">'Deng data'!K14</f>
        <v>1999</v>
      </c>
      <c r="E137" s="48" t="s">
        <v>435</v>
      </c>
      <c r="F137" s="32" t="s">
        <v>51</v>
      </c>
      <c r="G137" s="3" t="s">
        <v>46</v>
      </c>
      <c r="H137" s="3" t="s">
        <v>47</v>
      </c>
      <c r="I137" s="3" t="s">
        <v>53</v>
      </c>
      <c r="J137" s="3" t="s">
        <v>75</v>
      </c>
      <c r="K137" s="3" t="s">
        <v>75</v>
      </c>
      <c r="L137" s="3" t="s">
        <v>104</v>
      </c>
      <c r="M137" s="3" t="s">
        <v>75</v>
      </c>
      <c r="N137" s="3" t="s">
        <v>53</v>
      </c>
      <c r="O137" s="3" t="s">
        <v>202</v>
      </c>
      <c r="P137" s="3" t="s">
        <v>55</v>
      </c>
      <c r="Q137" s="32" t="s">
        <v>56</v>
      </c>
      <c r="R137" s="3" t="s">
        <v>47</v>
      </c>
      <c r="S137" s="3" t="s">
        <v>53</v>
      </c>
      <c r="T137" s="3" t="s">
        <v>53</v>
      </c>
      <c r="U137" s="3" t="s">
        <v>47</v>
      </c>
      <c r="V137" s="4" t="s">
        <v>430</v>
      </c>
      <c r="W137" s="49" t="n">
        <f aca="false">'Deng data'!O14</f>
        <v>13.0120481927711</v>
      </c>
      <c r="X137" s="66"/>
    </row>
    <row r="138" s="30" customFormat="true" ht="47.25" hidden="false" customHeight="false" outlineLevel="0" collapsed="false">
      <c r="A138" s="2"/>
      <c r="B138" s="35" t="s">
        <v>178</v>
      </c>
      <c r="C138" s="3" t="s">
        <v>179</v>
      </c>
      <c r="D138" s="3" t="n">
        <f aca="false">'Deng data'!K15</f>
        <v>1998</v>
      </c>
      <c r="E138" s="48" t="s">
        <v>436</v>
      </c>
      <c r="F138" s="32" t="s">
        <v>51</v>
      </c>
      <c r="G138" s="3" t="s">
        <v>46</v>
      </c>
      <c r="H138" s="3" t="s">
        <v>47</v>
      </c>
      <c r="I138" s="3" t="s">
        <v>53</v>
      </c>
      <c r="J138" s="3" t="s">
        <v>75</v>
      </c>
      <c r="K138" s="3" t="s">
        <v>75</v>
      </c>
      <c r="L138" s="3" t="s">
        <v>104</v>
      </c>
      <c r="M138" s="3" t="s">
        <v>75</v>
      </c>
      <c r="N138" s="3" t="s">
        <v>53</v>
      </c>
      <c r="O138" s="3" t="s">
        <v>202</v>
      </c>
      <c r="P138" s="3" t="s">
        <v>55</v>
      </c>
      <c r="Q138" s="32" t="s">
        <v>56</v>
      </c>
      <c r="R138" s="3" t="s">
        <v>47</v>
      </c>
      <c r="S138" s="3" t="s">
        <v>53</v>
      </c>
      <c r="T138" s="3" t="s">
        <v>53</v>
      </c>
      <c r="U138" s="3" t="s">
        <v>47</v>
      </c>
      <c r="V138" s="4" t="s">
        <v>430</v>
      </c>
      <c r="W138" s="49" t="n">
        <f aca="false">'Deng data'!O15</f>
        <v>13.6626506024096</v>
      </c>
      <c r="X138" s="66"/>
    </row>
    <row r="139" s="30" customFormat="true" ht="47.25" hidden="false" customHeight="false" outlineLevel="0" collapsed="false">
      <c r="A139" s="2"/>
      <c r="B139" s="35" t="s">
        <v>178</v>
      </c>
      <c r="C139" s="3" t="s">
        <v>179</v>
      </c>
      <c r="D139" s="3" t="n">
        <f aca="false">'Deng data'!K16</f>
        <v>1997</v>
      </c>
      <c r="E139" s="48" t="s">
        <v>180</v>
      </c>
      <c r="F139" s="32" t="s">
        <v>51</v>
      </c>
      <c r="G139" s="3" t="s">
        <v>46</v>
      </c>
      <c r="H139" s="3" t="s">
        <v>47</v>
      </c>
      <c r="I139" s="3" t="s">
        <v>53</v>
      </c>
      <c r="J139" s="3" t="s">
        <v>75</v>
      </c>
      <c r="K139" s="3" t="s">
        <v>75</v>
      </c>
      <c r="L139" s="3" t="s">
        <v>104</v>
      </c>
      <c r="M139" s="3" t="s">
        <v>75</v>
      </c>
      <c r="N139" s="3" t="s">
        <v>53</v>
      </c>
      <c r="O139" s="3" t="s">
        <v>202</v>
      </c>
      <c r="P139" s="3" t="s">
        <v>55</v>
      </c>
      <c r="Q139" s="32" t="s">
        <v>56</v>
      </c>
      <c r="R139" s="3" t="s">
        <v>47</v>
      </c>
      <c r="S139" s="3" t="s">
        <v>53</v>
      </c>
      <c r="T139" s="3" t="s">
        <v>53</v>
      </c>
      <c r="U139" s="3" t="s">
        <v>47</v>
      </c>
      <c r="V139" s="4" t="s">
        <v>430</v>
      </c>
      <c r="W139" s="49" t="n">
        <f aca="false">'Deng data'!O16</f>
        <v>15.1807228915663</v>
      </c>
    </row>
    <row r="140" s="30" customFormat="true" ht="47.25" hidden="false" customHeight="false" outlineLevel="0" collapsed="false">
      <c r="A140" s="2"/>
      <c r="B140" s="35" t="s">
        <v>178</v>
      </c>
      <c r="C140" s="3" t="s">
        <v>179</v>
      </c>
      <c r="D140" s="3" t="n">
        <f aca="false">'Deng data'!K30</f>
        <v>2008</v>
      </c>
      <c r="E140" s="48" t="s">
        <v>180</v>
      </c>
      <c r="F140" s="32" t="s">
        <v>51</v>
      </c>
      <c r="G140" s="3" t="s">
        <v>46</v>
      </c>
      <c r="H140" s="3" t="s">
        <v>47</v>
      </c>
      <c r="I140" s="3" t="s">
        <v>53</v>
      </c>
      <c r="J140" s="3" t="s">
        <v>75</v>
      </c>
      <c r="K140" s="3" t="s">
        <v>75</v>
      </c>
      <c r="L140" s="3" t="s">
        <v>104</v>
      </c>
      <c r="M140" s="3" t="s">
        <v>75</v>
      </c>
      <c r="N140" s="3" t="s">
        <v>53</v>
      </c>
      <c r="O140" s="3" t="s">
        <v>54</v>
      </c>
      <c r="P140" s="3" t="s">
        <v>55</v>
      </c>
      <c r="Q140" s="32" t="s">
        <v>56</v>
      </c>
      <c r="R140" s="3" t="s">
        <v>47</v>
      </c>
      <c r="S140" s="3" t="s">
        <v>53</v>
      </c>
      <c r="T140" s="3" t="s">
        <v>53</v>
      </c>
      <c r="U140" s="3" t="s">
        <v>47</v>
      </c>
      <c r="V140" s="4" t="s">
        <v>218</v>
      </c>
      <c r="W140" s="49" t="n">
        <f aca="false">'Deng data'!N30</f>
        <v>13.3373493975904</v>
      </c>
    </row>
    <row r="141" s="30" customFormat="true" ht="63" hidden="false" customHeight="false" outlineLevel="0" collapsed="false">
      <c r="A141" s="2"/>
      <c r="B141" s="35" t="s">
        <v>223</v>
      </c>
      <c r="C141" s="3" t="s">
        <v>224</v>
      </c>
      <c r="D141" s="3" t="n">
        <f aca="false">'Hu data'!B7</f>
        <v>1999</v>
      </c>
      <c r="E141" s="48" t="s">
        <v>225</v>
      </c>
      <c r="F141" s="32" t="s">
        <v>51</v>
      </c>
      <c r="G141" s="3" t="s">
        <v>75</v>
      </c>
      <c r="H141" s="3" t="s">
        <v>47</v>
      </c>
      <c r="I141" s="3" t="s">
        <v>53</v>
      </c>
      <c r="J141" s="3" t="s">
        <v>75</v>
      </c>
      <c r="K141" s="3" t="s">
        <v>226</v>
      </c>
      <c r="L141" s="3" t="s">
        <v>75</v>
      </c>
      <c r="M141" s="3" t="s">
        <v>75</v>
      </c>
      <c r="N141" s="3" t="s">
        <v>53</v>
      </c>
      <c r="O141" s="3" t="s">
        <v>202</v>
      </c>
      <c r="P141" s="3" t="s">
        <v>55</v>
      </c>
      <c r="Q141" s="32" t="s">
        <v>56</v>
      </c>
      <c r="R141" s="3" t="s">
        <v>47</v>
      </c>
      <c r="S141" s="3" t="s">
        <v>53</v>
      </c>
      <c r="T141" s="3" t="s">
        <v>53</v>
      </c>
      <c r="U141" s="3" t="s">
        <v>47</v>
      </c>
      <c r="V141" s="4" t="s">
        <v>437</v>
      </c>
      <c r="W141" s="49" t="n">
        <f aca="false">'Hu data'!E7</f>
        <v>9.37951807228916</v>
      </c>
    </row>
    <row r="142" s="30" customFormat="true" ht="63" hidden="false" customHeight="false" outlineLevel="0" collapsed="false">
      <c r="A142" s="2"/>
      <c r="B142" s="35" t="s">
        <v>223</v>
      </c>
      <c r="C142" s="3" t="s">
        <v>224</v>
      </c>
      <c r="D142" s="3" t="n">
        <f aca="false">'Hu data'!B8</f>
        <v>1999</v>
      </c>
      <c r="E142" s="48" t="s">
        <v>225</v>
      </c>
      <c r="F142" s="32" t="s">
        <v>51</v>
      </c>
      <c r="G142" s="3" t="s">
        <v>75</v>
      </c>
      <c r="H142" s="3" t="s">
        <v>47</v>
      </c>
      <c r="I142" s="3" t="s">
        <v>53</v>
      </c>
      <c r="J142" s="3" t="s">
        <v>75</v>
      </c>
      <c r="K142" s="3" t="s">
        <v>226</v>
      </c>
      <c r="L142" s="3" t="s">
        <v>75</v>
      </c>
      <c r="M142" s="3" t="s">
        <v>75</v>
      </c>
      <c r="N142" s="3" t="s">
        <v>53</v>
      </c>
      <c r="O142" s="3" t="s">
        <v>202</v>
      </c>
      <c r="P142" s="3" t="s">
        <v>55</v>
      </c>
      <c r="Q142" s="32" t="s">
        <v>56</v>
      </c>
      <c r="R142" s="3" t="s">
        <v>47</v>
      </c>
      <c r="S142" s="3" t="s">
        <v>53</v>
      </c>
      <c r="T142" s="3" t="s">
        <v>53</v>
      </c>
      <c r="U142" s="3" t="s">
        <v>47</v>
      </c>
      <c r="V142" s="4" t="s">
        <v>437</v>
      </c>
      <c r="W142" s="49" t="n">
        <f aca="false">'Hu data'!E8</f>
        <v>34.5903614457831</v>
      </c>
    </row>
    <row r="143" s="30" customFormat="true" ht="63" hidden="false" customHeight="false" outlineLevel="0" collapsed="false">
      <c r="A143" s="2"/>
      <c r="B143" s="35" t="s">
        <v>223</v>
      </c>
      <c r="C143" s="3" t="s">
        <v>224</v>
      </c>
      <c r="D143" s="3" t="n">
        <f aca="false">'Hu data'!B9</f>
        <v>1999</v>
      </c>
      <c r="E143" s="48" t="s">
        <v>225</v>
      </c>
      <c r="F143" s="32" t="s">
        <v>51</v>
      </c>
      <c r="G143" s="3" t="s">
        <v>75</v>
      </c>
      <c r="H143" s="3" t="s">
        <v>47</v>
      </c>
      <c r="I143" s="3" t="s">
        <v>53</v>
      </c>
      <c r="J143" s="3" t="s">
        <v>75</v>
      </c>
      <c r="K143" s="3" t="s">
        <v>226</v>
      </c>
      <c r="L143" s="3" t="s">
        <v>75</v>
      </c>
      <c r="M143" s="3" t="s">
        <v>75</v>
      </c>
      <c r="N143" s="3" t="s">
        <v>53</v>
      </c>
      <c r="O143" s="3" t="s">
        <v>202</v>
      </c>
      <c r="P143" s="3" t="s">
        <v>55</v>
      </c>
      <c r="Q143" s="32" t="s">
        <v>56</v>
      </c>
      <c r="R143" s="3" t="s">
        <v>47</v>
      </c>
      <c r="S143" s="3" t="s">
        <v>53</v>
      </c>
      <c r="T143" s="3" t="s">
        <v>53</v>
      </c>
      <c r="U143" s="3" t="s">
        <v>47</v>
      </c>
      <c r="V143" s="4" t="s">
        <v>437</v>
      </c>
      <c r="W143" s="49" t="n">
        <f aca="false">'Hu data'!E9</f>
        <v>15.5277108433735</v>
      </c>
    </row>
    <row r="144" s="30" customFormat="true" ht="63" hidden="false" customHeight="false" outlineLevel="0" collapsed="false">
      <c r="A144" s="2"/>
      <c r="B144" s="35" t="s">
        <v>223</v>
      </c>
      <c r="C144" s="3" t="s">
        <v>224</v>
      </c>
      <c r="D144" s="3" t="n">
        <f aca="false">'Hu data'!B10</f>
        <v>1997</v>
      </c>
      <c r="E144" s="48" t="s">
        <v>225</v>
      </c>
      <c r="F144" s="32" t="s">
        <v>51</v>
      </c>
      <c r="G144" s="3" t="s">
        <v>75</v>
      </c>
      <c r="H144" s="3" t="s">
        <v>47</v>
      </c>
      <c r="I144" s="3" t="s">
        <v>53</v>
      </c>
      <c r="J144" s="3" t="s">
        <v>75</v>
      </c>
      <c r="K144" s="3" t="s">
        <v>75</v>
      </c>
      <c r="L144" s="3" t="s">
        <v>75</v>
      </c>
      <c r="M144" s="3" t="s">
        <v>75</v>
      </c>
      <c r="N144" s="3" t="s">
        <v>53</v>
      </c>
      <c r="O144" s="3" t="s">
        <v>54</v>
      </c>
      <c r="P144" s="3" t="s">
        <v>55</v>
      </c>
      <c r="Q144" s="32" t="s">
        <v>56</v>
      </c>
      <c r="R144" s="3" t="s">
        <v>47</v>
      </c>
      <c r="S144" s="3" t="s">
        <v>53</v>
      </c>
      <c r="T144" s="3" t="s">
        <v>53</v>
      </c>
      <c r="U144" s="3" t="s">
        <v>47</v>
      </c>
      <c r="V144" s="4" t="s">
        <v>437</v>
      </c>
      <c r="W144" s="49" t="n">
        <f aca="false">'Hu data'!E10</f>
        <v>19.1927710843373</v>
      </c>
    </row>
    <row r="145" s="30" customFormat="true" ht="63" hidden="false" customHeight="false" outlineLevel="0" collapsed="false">
      <c r="A145" s="2"/>
      <c r="B145" s="35" t="s">
        <v>223</v>
      </c>
      <c r="C145" s="3" t="s">
        <v>224</v>
      </c>
      <c r="D145" s="3" t="n">
        <f aca="false">'Hu data'!B11</f>
        <v>1995</v>
      </c>
      <c r="E145" s="48" t="s">
        <v>225</v>
      </c>
      <c r="F145" s="32" t="s">
        <v>51</v>
      </c>
      <c r="G145" s="3" t="s">
        <v>75</v>
      </c>
      <c r="H145" s="3" t="s">
        <v>47</v>
      </c>
      <c r="I145" s="3" t="s">
        <v>53</v>
      </c>
      <c r="J145" s="3" t="s">
        <v>75</v>
      </c>
      <c r="K145" s="3" t="s">
        <v>75</v>
      </c>
      <c r="L145" s="3" t="s">
        <v>75</v>
      </c>
      <c r="M145" s="3" t="s">
        <v>75</v>
      </c>
      <c r="N145" s="3" t="s">
        <v>53</v>
      </c>
      <c r="O145" s="3" t="s">
        <v>54</v>
      </c>
      <c r="P145" s="3" t="s">
        <v>55</v>
      </c>
      <c r="Q145" s="32" t="s">
        <v>56</v>
      </c>
      <c r="R145" s="3" t="s">
        <v>47</v>
      </c>
      <c r="S145" s="3" t="s">
        <v>53</v>
      </c>
      <c r="T145" s="3" t="s">
        <v>53</v>
      </c>
      <c r="U145" s="3" t="s">
        <v>47</v>
      </c>
      <c r="V145" s="4" t="s">
        <v>437</v>
      </c>
      <c r="W145" s="49" t="n">
        <f aca="false">'Hu data'!E11</f>
        <v>15.289156626506</v>
      </c>
    </row>
    <row r="146" s="30" customFormat="true" ht="63" hidden="false" customHeight="false" outlineLevel="0" collapsed="false">
      <c r="A146" s="2"/>
      <c r="B146" s="35" t="s">
        <v>223</v>
      </c>
      <c r="C146" s="3" t="s">
        <v>224</v>
      </c>
      <c r="D146" s="3" t="n">
        <f aca="false">'Hu data'!B12</f>
        <v>1988</v>
      </c>
      <c r="E146" s="48" t="s">
        <v>225</v>
      </c>
      <c r="F146" s="32" t="s">
        <v>51</v>
      </c>
      <c r="G146" s="3" t="s">
        <v>75</v>
      </c>
      <c r="H146" s="3" t="s">
        <v>47</v>
      </c>
      <c r="I146" s="3" t="s">
        <v>53</v>
      </c>
      <c r="J146" s="3" t="s">
        <v>75</v>
      </c>
      <c r="K146" s="3" t="s">
        <v>75</v>
      </c>
      <c r="L146" s="3" t="s">
        <v>75</v>
      </c>
      <c r="M146" s="3" t="s">
        <v>75</v>
      </c>
      <c r="N146" s="3" t="s">
        <v>53</v>
      </c>
      <c r="O146" s="3" t="s">
        <v>48</v>
      </c>
      <c r="P146" s="3" t="s">
        <v>55</v>
      </c>
      <c r="Q146" s="32" t="s">
        <v>56</v>
      </c>
      <c r="R146" s="3" t="s">
        <v>47</v>
      </c>
      <c r="S146" s="3" t="s">
        <v>53</v>
      </c>
      <c r="T146" s="3" t="s">
        <v>53</v>
      </c>
      <c r="U146" s="3" t="s">
        <v>47</v>
      </c>
      <c r="V146" s="4" t="s">
        <v>437</v>
      </c>
      <c r="W146" s="49" t="n">
        <f aca="false">'Hu data'!E12</f>
        <v>20.1686746987952</v>
      </c>
    </row>
    <row r="147" s="30" customFormat="true" ht="63" hidden="false" customHeight="false" outlineLevel="0" collapsed="false">
      <c r="A147" s="2"/>
      <c r="B147" s="35" t="s">
        <v>223</v>
      </c>
      <c r="C147" s="3" t="s">
        <v>224</v>
      </c>
      <c r="D147" s="3" t="n">
        <f aca="false">'Hu data'!B13</f>
        <v>1984</v>
      </c>
      <c r="E147" s="48" t="s">
        <v>225</v>
      </c>
      <c r="F147" s="32" t="s">
        <v>51</v>
      </c>
      <c r="G147" s="3" t="s">
        <v>75</v>
      </c>
      <c r="H147" s="3" t="s">
        <v>47</v>
      </c>
      <c r="I147" s="3" t="s">
        <v>53</v>
      </c>
      <c r="J147" s="3" t="s">
        <v>75</v>
      </c>
      <c r="K147" s="3" t="s">
        <v>75</v>
      </c>
      <c r="L147" s="3" t="s">
        <v>75</v>
      </c>
      <c r="M147" s="3" t="s">
        <v>75</v>
      </c>
      <c r="N147" s="3" t="s">
        <v>53</v>
      </c>
      <c r="O147" s="3" t="s">
        <v>54</v>
      </c>
      <c r="P147" s="3" t="s">
        <v>55</v>
      </c>
      <c r="Q147" s="32" t="s">
        <v>56</v>
      </c>
      <c r="R147" s="3" t="s">
        <v>47</v>
      </c>
      <c r="S147" s="3" t="s">
        <v>53</v>
      </c>
      <c r="T147" s="3" t="s">
        <v>53</v>
      </c>
      <c r="U147" s="3" t="s">
        <v>47</v>
      </c>
      <c r="V147" s="4" t="s">
        <v>437</v>
      </c>
      <c r="W147" s="49" t="n">
        <f aca="false">'Hu data'!E13</f>
        <v>35.3493975903614</v>
      </c>
    </row>
    <row r="148" s="30" customFormat="true" ht="63" hidden="false" customHeight="false" outlineLevel="0" collapsed="false">
      <c r="A148" s="2"/>
      <c r="B148" s="35" t="s">
        <v>223</v>
      </c>
      <c r="C148" s="3" t="s">
        <v>224</v>
      </c>
      <c r="D148" s="3" t="n">
        <f aca="false">'Hu data'!B14</f>
        <v>1983</v>
      </c>
      <c r="E148" s="48" t="s">
        <v>225</v>
      </c>
      <c r="F148" s="32" t="s">
        <v>51</v>
      </c>
      <c r="G148" s="3" t="s">
        <v>75</v>
      </c>
      <c r="H148" s="3" t="s">
        <v>47</v>
      </c>
      <c r="I148" s="3" t="s">
        <v>53</v>
      </c>
      <c r="J148" s="3" t="s">
        <v>75</v>
      </c>
      <c r="K148" s="3" t="s">
        <v>75</v>
      </c>
      <c r="L148" s="3" t="s">
        <v>75</v>
      </c>
      <c r="M148" s="3" t="s">
        <v>75</v>
      </c>
      <c r="N148" s="3" t="s">
        <v>53</v>
      </c>
      <c r="O148" s="3" t="s">
        <v>54</v>
      </c>
      <c r="P148" s="3" t="s">
        <v>55</v>
      </c>
      <c r="Q148" s="32" t="s">
        <v>56</v>
      </c>
      <c r="R148" s="3" t="s">
        <v>47</v>
      </c>
      <c r="S148" s="3" t="s">
        <v>53</v>
      </c>
      <c r="T148" s="3" t="s">
        <v>53</v>
      </c>
      <c r="U148" s="3" t="s">
        <v>47</v>
      </c>
      <c r="V148" s="4" t="s">
        <v>437</v>
      </c>
      <c r="W148" s="49" t="n">
        <f aca="false">'Hu data'!E14</f>
        <v>33.6144578313253</v>
      </c>
    </row>
    <row r="149" s="30" customFormat="true" ht="47.25" hidden="false" customHeight="false" outlineLevel="0" collapsed="false">
      <c r="A149" s="2"/>
      <c r="B149" s="35" t="s">
        <v>235</v>
      </c>
      <c r="C149" s="3" t="s">
        <v>236</v>
      </c>
      <c r="D149" s="3" t="n">
        <f aca="false">'Branham data'!B6</f>
        <v>2007</v>
      </c>
      <c r="E149" s="48" t="s">
        <v>237</v>
      </c>
      <c r="F149" s="32" t="s">
        <v>51</v>
      </c>
      <c r="G149" s="3" t="s">
        <v>46</v>
      </c>
      <c r="H149" s="3" t="s">
        <v>47</v>
      </c>
      <c r="I149" s="3" t="s">
        <v>53</v>
      </c>
      <c r="J149" s="3" t="s">
        <v>75</v>
      </c>
      <c r="K149" s="3" t="s">
        <v>75</v>
      </c>
      <c r="L149" s="3" t="s">
        <v>75</v>
      </c>
      <c r="M149" s="3" t="s">
        <v>47</v>
      </c>
      <c r="N149" s="3" t="s">
        <v>75</v>
      </c>
      <c r="O149" s="3" t="s">
        <v>238</v>
      </c>
      <c r="P149" s="3" t="s">
        <v>174</v>
      </c>
      <c r="Q149" s="32" t="s">
        <v>61</v>
      </c>
      <c r="R149" s="3" t="s">
        <v>47</v>
      </c>
      <c r="S149" s="3" t="s">
        <v>114</v>
      </c>
      <c r="T149" s="3" t="s">
        <v>47</v>
      </c>
      <c r="U149" s="3" t="s">
        <v>47</v>
      </c>
      <c r="V149" s="4" t="s">
        <v>438</v>
      </c>
      <c r="W149" s="49" t="n">
        <f aca="false">'Branham data'!D6</f>
        <v>16.5903614457831</v>
      </c>
    </row>
    <row r="150" s="30" customFormat="true" ht="47.25" hidden="false" customHeight="false" outlineLevel="0" collapsed="false">
      <c r="A150" s="2"/>
      <c r="B150" s="35" t="s">
        <v>235</v>
      </c>
      <c r="C150" s="3" t="s">
        <v>236</v>
      </c>
      <c r="D150" s="3" t="n">
        <f aca="false">'Branham data'!B7</f>
        <v>2007</v>
      </c>
      <c r="E150" s="48" t="s">
        <v>240</v>
      </c>
      <c r="F150" s="32" t="s">
        <v>51</v>
      </c>
      <c r="G150" s="3" t="s">
        <v>46</v>
      </c>
      <c r="H150" s="3" t="s">
        <v>47</v>
      </c>
      <c r="I150" s="3" t="s">
        <v>53</v>
      </c>
      <c r="J150" s="3" t="s">
        <v>75</v>
      </c>
      <c r="K150" s="3" t="s">
        <v>75</v>
      </c>
      <c r="L150" s="3" t="s">
        <v>75</v>
      </c>
      <c r="M150" s="3" t="s">
        <v>47</v>
      </c>
      <c r="N150" s="3" t="s">
        <v>75</v>
      </c>
      <c r="O150" s="3" t="s">
        <v>238</v>
      </c>
      <c r="P150" s="3" t="s">
        <v>174</v>
      </c>
      <c r="Q150" s="32" t="s">
        <v>61</v>
      </c>
      <c r="R150" s="3" t="s">
        <v>47</v>
      </c>
      <c r="S150" s="3" t="s">
        <v>114</v>
      </c>
      <c r="T150" s="3" t="s">
        <v>47</v>
      </c>
      <c r="U150" s="3" t="s">
        <v>47</v>
      </c>
      <c r="V150" s="4" t="s">
        <v>438</v>
      </c>
      <c r="W150" s="49" t="n">
        <f aca="false">'Branham data'!D7</f>
        <v>19.9518072289157</v>
      </c>
    </row>
    <row r="151" s="30" customFormat="true" ht="47.25" hidden="false" customHeight="false" outlineLevel="0" collapsed="false">
      <c r="A151" s="2"/>
      <c r="B151" s="35" t="s">
        <v>235</v>
      </c>
      <c r="C151" s="3" t="s">
        <v>236</v>
      </c>
      <c r="D151" s="3" t="n">
        <f aca="false">'Branham data'!B8</f>
        <v>2007</v>
      </c>
      <c r="E151" s="48" t="s">
        <v>241</v>
      </c>
      <c r="F151" s="32" t="s">
        <v>51</v>
      </c>
      <c r="G151" s="3" t="s">
        <v>46</v>
      </c>
      <c r="H151" s="3" t="s">
        <v>47</v>
      </c>
      <c r="I151" s="3" t="s">
        <v>53</v>
      </c>
      <c r="J151" s="3" t="s">
        <v>75</v>
      </c>
      <c r="K151" s="3" t="s">
        <v>75</v>
      </c>
      <c r="L151" s="3" t="s">
        <v>75</v>
      </c>
      <c r="M151" s="3" t="s">
        <v>47</v>
      </c>
      <c r="N151" s="3" t="s">
        <v>75</v>
      </c>
      <c r="O151" s="3" t="s">
        <v>238</v>
      </c>
      <c r="P151" s="3" t="s">
        <v>174</v>
      </c>
      <c r="Q151" s="32" t="s">
        <v>61</v>
      </c>
      <c r="R151" s="3" t="s">
        <v>47</v>
      </c>
      <c r="S151" s="3" t="s">
        <v>114</v>
      </c>
      <c r="T151" s="3" t="s">
        <v>47</v>
      </c>
      <c r="U151" s="3" t="s">
        <v>47</v>
      </c>
      <c r="V151" s="4" t="s">
        <v>438</v>
      </c>
      <c r="W151" s="49" t="n">
        <f aca="false">'Branham data'!D8</f>
        <v>21.9036144578313</v>
      </c>
    </row>
    <row r="152" s="30" customFormat="true" ht="47.25" hidden="false" customHeight="false" outlineLevel="0" collapsed="false">
      <c r="A152" s="2"/>
      <c r="B152" s="35" t="s">
        <v>235</v>
      </c>
      <c r="C152" s="3" t="s">
        <v>236</v>
      </c>
      <c r="D152" s="3" t="n">
        <f aca="false">'Branham data'!B9</f>
        <v>2007</v>
      </c>
      <c r="E152" s="48" t="s">
        <v>242</v>
      </c>
      <c r="F152" s="32" t="s">
        <v>51</v>
      </c>
      <c r="G152" s="3" t="s">
        <v>46</v>
      </c>
      <c r="H152" s="3" t="s">
        <v>47</v>
      </c>
      <c r="I152" s="3" t="s">
        <v>53</v>
      </c>
      <c r="J152" s="3" t="s">
        <v>75</v>
      </c>
      <c r="K152" s="3" t="s">
        <v>75</v>
      </c>
      <c r="L152" s="3" t="s">
        <v>75</v>
      </c>
      <c r="M152" s="3" t="s">
        <v>47</v>
      </c>
      <c r="N152" s="3" t="s">
        <v>75</v>
      </c>
      <c r="O152" s="3" t="s">
        <v>238</v>
      </c>
      <c r="P152" s="3" t="s">
        <v>174</v>
      </c>
      <c r="Q152" s="32" t="s">
        <v>61</v>
      </c>
      <c r="R152" s="3" t="s">
        <v>47</v>
      </c>
      <c r="S152" s="3" t="s">
        <v>114</v>
      </c>
      <c r="T152" s="3" t="s">
        <v>47</v>
      </c>
      <c r="U152" s="3" t="s">
        <v>47</v>
      </c>
      <c r="V152" s="4" t="s">
        <v>438</v>
      </c>
      <c r="W152" s="49" t="n">
        <f aca="false">'Branham data'!D9</f>
        <v>22.9879518072289</v>
      </c>
    </row>
    <row r="153" s="30" customFormat="true" ht="47.25" hidden="false" customHeight="false" outlineLevel="0" collapsed="false">
      <c r="A153" s="2"/>
      <c r="B153" s="35" t="s">
        <v>235</v>
      </c>
      <c r="C153" s="3" t="s">
        <v>236</v>
      </c>
      <c r="D153" s="3" t="n">
        <f aca="false">'Branham data'!B10</f>
        <v>2006</v>
      </c>
      <c r="E153" s="48" t="s">
        <v>243</v>
      </c>
      <c r="F153" s="32" t="s">
        <v>51</v>
      </c>
      <c r="G153" s="3" t="s">
        <v>46</v>
      </c>
      <c r="H153" s="3" t="s">
        <v>47</v>
      </c>
      <c r="I153" s="3" t="s">
        <v>53</v>
      </c>
      <c r="J153" s="3" t="s">
        <v>75</v>
      </c>
      <c r="K153" s="3" t="s">
        <v>75</v>
      </c>
      <c r="L153" s="3" t="s">
        <v>75</v>
      </c>
      <c r="M153" s="3" t="s">
        <v>47</v>
      </c>
      <c r="N153" s="3" t="s">
        <v>75</v>
      </c>
      <c r="O153" s="3" t="s">
        <v>238</v>
      </c>
      <c r="P153" s="3" t="s">
        <v>174</v>
      </c>
      <c r="Q153" s="32" t="s">
        <v>61</v>
      </c>
      <c r="R153" s="3" t="s">
        <v>47</v>
      </c>
      <c r="S153" s="3" t="s">
        <v>114</v>
      </c>
      <c r="T153" s="3" t="s">
        <v>47</v>
      </c>
      <c r="U153" s="3" t="s">
        <v>47</v>
      </c>
      <c r="V153" s="4" t="s">
        <v>438</v>
      </c>
      <c r="W153" s="49" t="n">
        <f aca="false">'Branham data'!D10</f>
        <v>22.1204819277108</v>
      </c>
    </row>
    <row r="154" s="30" customFormat="true" ht="47.25" hidden="false" customHeight="false" outlineLevel="0" collapsed="false">
      <c r="A154" s="2"/>
      <c r="B154" s="35" t="s">
        <v>235</v>
      </c>
      <c r="C154" s="3" t="s">
        <v>236</v>
      </c>
      <c r="D154" s="3" t="n">
        <f aca="false">'Branham data'!B11</f>
        <v>2006</v>
      </c>
      <c r="E154" s="48" t="s">
        <v>244</v>
      </c>
      <c r="F154" s="32" t="s">
        <v>51</v>
      </c>
      <c r="G154" s="3" t="s">
        <v>46</v>
      </c>
      <c r="H154" s="3" t="s">
        <v>47</v>
      </c>
      <c r="I154" s="3" t="s">
        <v>53</v>
      </c>
      <c r="J154" s="3" t="s">
        <v>75</v>
      </c>
      <c r="K154" s="3" t="s">
        <v>75</v>
      </c>
      <c r="L154" s="3" t="s">
        <v>75</v>
      </c>
      <c r="M154" s="3" t="s">
        <v>47</v>
      </c>
      <c r="N154" s="3" t="s">
        <v>75</v>
      </c>
      <c r="O154" s="3" t="s">
        <v>238</v>
      </c>
      <c r="P154" s="3" t="s">
        <v>174</v>
      </c>
      <c r="Q154" s="32" t="s">
        <v>61</v>
      </c>
      <c r="R154" s="3" t="s">
        <v>47</v>
      </c>
      <c r="S154" s="3" t="s">
        <v>114</v>
      </c>
      <c r="T154" s="3" t="s">
        <v>47</v>
      </c>
      <c r="U154" s="3" t="s">
        <v>47</v>
      </c>
      <c r="V154" s="4" t="s">
        <v>438</v>
      </c>
      <c r="W154" s="49" t="n">
        <f aca="false">'Branham data'!D11</f>
        <v>30.0361445783133</v>
      </c>
    </row>
    <row r="155" s="30" customFormat="true" ht="47.25" hidden="false" customHeight="false" outlineLevel="0" collapsed="false">
      <c r="A155" s="2"/>
      <c r="B155" s="35" t="s">
        <v>235</v>
      </c>
      <c r="C155" s="3" t="s">
        <v>236</v>
      </c>
      <c r="D155" s="3" t="n">
        <f aca="false">'Branham data'!B12</f>
        <v>2006</v>
      </c>
      <c r="E155" s="48" t="s">
        <v>245</v>
      </c>
      <c r="F155" s="32" t="s">
        <v>51</v>
      </c>
      <c r="G155" s="3" t="s">
        <v>46</v>
      </c>
      <c r="H155" s="3" t="s">
        <v>47</v>
      </c>
      <c r="I155" s="3" t="s">
        <v>53</v>
      </c>
      <c r="J155" s="3" t="s">
        <v>75</v>
      </c>
      <c r="K155" s="3" t="s">
        <v>75</v>
      </c>
      <c r="L155" s="3" t="s">
        <v>75</v>
      </c>
      <c r="M155" s="3" t="s">
        <v>47</v>
      </c>
      <c r="N155" s="3" t="s">
        <v>75</v>
      </c>
      <c r="O155" s="3" t="s">
        <v>238</v>
      </c>
      <c r="P155" s="3" t="s">
        <v>174</v>
      </c>
      <c r="Q155" s="32" t="s">
        <v>61</v>
      </c>
      <c r="R155" s="3" t="s">
        <v>47</v>
      </c>
      <c r="S155" s="3" t="s">
        <v>114</v>
      </c>
      <c r="T155" s="3" t="s">
        <v>47</v>
      </c>
      <c r="U155" s="3" t="s">
        <v>47</v>
      </c>
      <c r="V155" s="4" t="s">
        <v>438</v>
      </c>
      <c r="W155" s="49" t="n">
        <f aca="false">'Branham data'!D12</f>
        <v>29.2771084337349</v>
      </c>
    </row>
    <row r="156" s="30" customFormat="true" ht="47.25" hidden="false" customHeight="false" outlineLevel="0" collapsed="false">
      <c r="A156" s="2"/>
      <c r="B156" s="35" t="s">
        <v>246</v>
      </c>
      <c r="C156" s="3" t="s">
        <v>247</v>
      </c>
      <c r="D156" s="3" t="n">
        <v>2002</v>
      </c>
      <c r="E156" s="48" t="s">
        <v>248</v>
      </c>
      <c r="F156" s="32" t="s">
        <v>45</v>
      </c>
      <c r="G156" s="3" t="s">
        <v>46</v>
      </c>
      <c r="H156" s="3" t="s">
        <v>47</v>
      </c>
      <c r="I156" s="3" t="s">
        <v>53</v>
      </c>
      <c r="J156" s="3" t="n">
        <v>130</v>
      </c>
      <c r="K156" s="3" t="s">
        <v>226</v>
      </c>
      <c r="L156" s="3" t="s">
        <v>47</v>
      </c>
      <c r="M156" s="3" t="s">
        <v>53</v>
      </c>
      <c r="N156" s="3" t="s">
        <v>53</v>
      </c>
      <c r="O156" s="3" t="s">
        <v>54</v>
      </c>
      <c r="P156" s="3" t="s">
        <v>55</v>
      </c>
      <c r="Q156" s="32" t="s">
        <v>50</v>
      </c>
      <c r="R156" s="3" t="s">
        <v>47</v>
      </c>
      <c r="S156" s="3" t="s">
        <v>53</v>
      </c>
      <c r="T156" s="3" t="s">
        <v>47</v>
      </c>
      <c r="U156" s="3" t="s">
        <v>53</v>
      </c>
      <c r="V156" s="4" t="s">
        <v>439</v>
      </c>
      <c r="W156" s="49" t="n">
        <f aca="false">'Murphy data'!E12</f>
        <v>13.9592854175322</v>
      </c>
    </row>
    <row r="157" s="30" customFormat="true" ht="47.25" hidden="false" customHeight="false" outlineLevel="0" collapsed="false">
      <c r="A157" s="2"/>
      <c r="B157" s="35" t="s">
        <v>246</v>
      </c>
      <c r="C157" s="3" t="s">
        <v>247</v>
      </c>
      <c r="D157" s="3" t="n">
        <v>2002</v>
      </c>
      <c r="E157" s="48" t="s">
        <v>248</v>
      </c>
      <c r="F157" s="32" t="s">
        <v>45</v>
      </c>
      <c r="G157" s="3" t="s">
        <v>46</v>
      </c>
      <c r="H157" s="3" t="s">
        <v>47</v>
      </c>
      <c r="I157" s="3" t="s">
        <v>53</v>
      </c>
      <c r="J157" s="3" t="n">
        <v>130</v>
      </c>
      <c r="K157" s="3" t="s">
        <v>226</v>
      </c>
      <c r="L157" s="3" t="s">
        <v>47</v>
      </c>
      <c r="M157" s="3" t="s">
        <v>53</v>
      </c>
      <c r="N157" s="3" t="s">
        <v>53</v>
      </c>
      <c r="O157" s="3" t="s">
        <v>54</v>
      </c>
      <c r="P157" s="3" t="s">
        <v>55</v>
      </c>
      <c r="Q157" s="32" t="s">
        <v>50</v>
      </c>
      <c r="R157" s="3" t="s">
        <v>47</v>
      </c>
      <c r="S157" s="3" t="s">
        <v>53</v>
      </c>
      <c r="T157" s="3" t="s">
        <v>47</v>
      </c>
      <c r="U157" s="3" t="s">
        <v>53</v>
      </c>
      <c r="V157" s="4" t="s">
        <v>440</v>
      </c>
      <c r="W157" s="49" t="n">
        <f aca="false">'Murphy data'!E13</f>
        <v>16.8674698795181</v>
      </c>
    </row>
    <row r="158" s="30" customFormat="true" ht="47.25" hidden="false" customHeight="false" outlineLevel="0" collapsed="false">
      <c r="A158" s="2"/>
      <c r="B158" s="35" t="s">
        <v>251</v>
      </c>
      <c r="C158" s="3" t="s">
        <v>252</v>
      </c>
      <c r="D158" s="3" t="n">
        <f aca="false">'Yao data'!B6</f>
        <v>2008</v>
      </c>
      <c r="E158" s="48" t="s">
        <v>253</v>
      </c>
      <c r="F158" s="32" t="s">
        <v>51</v>
      </c>
      <c r="G158" s="3" t="s">
        <v>75</v>
      </c>
      <c r="H158" s="3" t="s">
        <v>47</v>
      </c>
      <c r="I158" s="3" t="s">
        <v>53</v>
      </c>
      <c r="J158" s="3" t="s">
        <v>75</v>
      </c>
      <c r="K158" s="3" t="s">
        <v>75</v>
      </c>
      <c r="L158" s="3" t="s">
        <v>75</v>
      </c>
      <c r="M158" s="3" t="s">
        <v>75</v>
      </c>
      <c r="N158" s="3" t="s">
        <v>53</v>
      </c>
      <c r="O158" s="3" t="s">
        <v>75</v>
      </c>
      <c r="P158" s="3" t="s">
        <v>55</v>
      </c>
      <c r="Q158" s="32" t="s">
        <v>56</v>
      </c>
      <c r="R158" s="3" t="s">
        <v>47</v>
      </c>
      <c r="S158" s="3" t="s">
        <v>53</v>
      </c>
      <c r="T158" s="3" t="s">
        <v>53</v>
      </c>
      <c r="U158" s="3" t="s">
        <v>47</v>
      </c>
      <c r="V158" s="4" t="s">
        <v>441</v>
      </c>
      <c r="W158" s="49" t="n">
        <f aca="false">'Yao data'!E6</f>
        <v>11.2771084337349</v>
      </c>
    </row>
    <row r="159" s="30" customFormat="true" ht="47.25" hidden="false" customHeight="false" outlineLevel="0" collapsed="false">
      <c r="A159" s="2"/>
      <c r="B159" s="35" t="s">
        <v>251</v>
      </c>
      <c r="C159" s="3" t="s">
        <v>252</v>
      </c>
      <c r="D159" s="3" t="n">
        <f aca="false">'Yao data'!B7</f>
        <v>2007</v>
      </c>
      <c r="E159" s="48" t="s">
        <v>253</v>
      </c>
      <c r="F159" s="32" t="s">
        <v>51</v>
      </c>
      <c r="G159" s="3" t="s">
        <v>75</v>
      </c>
      <c r="H159" s="3" t="s">
        <v>47</v>
      </c>
      <c r="I159" s="3" t="s">
        <v>53</v>
      </c>
      <c r="J159" s="3" t="s">
        <v>75</v>
      </c>
      <c r="K159" s="3" t="s">
        <v>75</v>
      </c>
      <c r="L159" s="3" t="s">
        <v>75</v>
      </c>
      <c r="M159" s="3" t="s">
        <v>75</v>
      </c>
      <c r="N159" s="3" t="s">
        <v>53</v>
      </c>
      <c r="O159" s="3" t="s">
        <v>75</v>
      </c>
      <c r="P159" s="3" t="s">
        <v>55</v>
      </c>
      <c r="Q159" s="32" t="s">
        <v>56</v>
      </c>
      <c r="R159" s="3" t="s">
        <v>47</v>
      </c>
      <c r="S159" s="3" t="s">
        <v>53</v>
      </c>
      <c r="T159" s="3" t="s">
        <v>53</v>
      </c>
      <c r="U159" s="3" t="s">
        <v>47</v>
      </c>
      <c r="V159" s="4" t="s">
        <v>441</v>
      </c>
      <c r="W159" s="49" t="n">
        <f aca="false">'Yao data'!E7</f>
        <v>11.2771084337349</v>
      </c>
    </row>
    <row r="160" s="30" customFormat="true" ht="47.25" hidden="false" customHeight="false" outlineLevel="0" collapsed="false">
      <c r="A160" s="2"/>
      <c r="B160" s="35" t="s">
        <v>251</v>
      </c>
      <c r="C160" s="3" t="s">
        <v>252</v>
      </c>
      <c r="D160" s="3" t="n">
        <f aca="false">'Yao data'!B8</f>
        <v>2006</v>
      </c>
      <c r="E160" s="48" t="s">
        <v>253</v>
      </c>
      <c r="F160" s="32" t="s">
        <v>51</v>
      </c>
      <c r="G160" s="3" t="s">
        <v>75</v>
      </c>
      <c r="H160" s="3" t="s">
        <v>47</v>
      </c>
      <c r="I160" s="3" t="s">
        <v>53</v>
      </c>
      <c r="J160" s="3" t="s">
        <v>75</v>
      </c>
      <c r="K160" s="3" t="s">
        <v>75</v>
      </c>
      <c r="L160" s="3" t="s">
        <v>75</v>
      </c>
      <c r="M160" s="3" t="s">
        <v>75</v>
      </c>
      <c r="N160" s="3" t="s">
        <v>53</v>
      </c>
      <c r="O160" s="3" t="s">
        <v>75</v>
      </c>
      <c r="P160" s="3" t="s">
        <v>55</v>
      </c>
      <c r="Q160" s="32" t="s">
        <v>56</v>
      </c>
      <c r="R160" s="3" t="s">
        <v>47</v>
      </c>
      <c r="S160" s="3" t="s">
        <v>53</v>
      </c>
      <c r="T160" s="3" t="s">
        <v>53</v>
      </c>
      <c r="U160" s="3" t="s">
        <v>47</v>
      </c>
      <c r="V160" s="4" t="s">
        <v>441</v>
      </c>
      <c r="W160" s="49" t="n">
        <f aca="false">'Yao data'!E8</f>
        <v>13.5542168674699</v>
      </c>
    </row>
    <row r="161" s="30" customFormat="true" ht="47.25" hidden="false" customHeight="false" outlineLevel="0" collapsed="false">
      <c r="A161" s="2"/>
      <c r="B161" s="35" t="s">
        <v>251</v>
      </c>
      <c r="C161" s="3" t="s">
        <v>252</v>
      </c>
      <c r="D161" s="3" t="n">
        <f aca="false">'Yao data'!B9</f>
        <v>2005</v>
      </c>
      <c r="E161" s="48" t="s">
        <v>253</v>
      </c>
      <c r="F161" s="32" t="s">
        <v>51</v>
      </c>
      <c r="G161" s="3" t="s">
        <v>75</v>
      </c>
      <c r="H161" s="3" t="s">
        <v>47</v>
      </c>
      <c r="I161" s="3" t="s">
        <v>53</v>
      </c>
      <c r="J161" s="3" t="s">
        <v>75</v>
      </c>
      <c r="K161" s="3" t="s">
        <v>75</v>
      </c>
      <c r="L161" s="3" t="s">
        <v>75</v>
      </c>
      <c r="M161" s="3" t="s">
        <v>75</v>
      </c>
      <c r="N161" s="3" t="s">
        <v>53</v>
      </c>
      <c r="O161" s="3" t="s">
        <v>75</v>
      </c>
      <c r="P161" s="3" t="s">
        <v>55</v>
      </c>
      <c r="Q161" s="32" t="s">
        <v>56</v>
      </c>
      <c r="R161" s="3" t="s">
        <v>47</v>
      </c>
      <c r="S161" s="3" t="s">
        <v>53</v>
      </c>
      <c r="T161" s="3" t="s">
        <v>53</v>
      </c>
      <c r="U161" s="3" t="s">
        <v>47</v>
      </c>
      <c r="V161" s="4" t="s">
        <v>441</v>
      </c>
      <c r="W161" s="49" t="n">
        <f aca="false">'Yao data'!E9</f>
        <v>14.7469879518072</v>
      </c>
    </row>
    <row r="162" s="30" customFormat="true" ht="47.25" hidden="false" customHeight="false" outlineLevel="0" collapsed="false">
      <c r="A162" s="2"/>
      <c r="B162" s="35" t="s">
        <v>251</v>
      </c>
      <c r="C162" s="3" t="s">
        <v>252</v>
      </c>
      <c r="D162" s="3" t="n">
        <f aca="false">'Yao data'!B10</f>
        <v>2004</v>
      </c>
      <c r="E162" s="48" t="s">
        <v>253</v>
      </c>
      <c r="F162" s="32" t="s">
        <v>51</v>
      </c>
      <c r="G162" s="3" t="s">
        <v>75</v>
      </c>
      <c r="H162" s="3" t="s">
        <v>47</v>
      </c>
      <c r="I162" s="3" t="s">
        <v>53</v>
      </c>
      <c r="J162" s="3" t="s">
        <v>75</v>
      </c>
      <c r="K162" s="3" t="s">
        <v>75</v>
      </c>
      <c r="L162" s="3" t="s">
        <v>75</v>
      </c>
      <c r="M162" s="3" t="s">
        <v>75</v>
      </c>
      <c r="N162" s="3" t="s">
        <v>53</v>
      </c>
      <c r="O162" s="3" t="s">
        <v>75</v>
      </c>
      <c r="P162" s="3" t="s">
        <v>55</v>
      </c>
      <c r="Q162" s="32" t="s">
        <v>56</v>
      </c>
      <c r="R162" s="3" t="s">
        <v>47</v>
      </c>
      <c r="S162" s="3" t="s">
        <v>53</v>
      </c>
      <c r="T162" s="3" t="s">
        <v>53</v>
      </c>
      <c r="U162" s="3" t="s">
        <v>47</v>
      </c>
      <c r="V162" s="4" t="s">
        <v>441</v>
      </c>
      <c r="W162" s="49" t="n">
        <f aca="false">'Yao data'!E10</f>
        <v>15.1807228915663</v>
      </c>
    </row>
    <row r="163" s="30" customFormat="true" ht="47.25" hidden="false" customHeight="false" outlineLevel="0" collapsed="false">
      <c r="A163" s="2"/>
      <c r="B163" s="35" t="s">
        <v>251</v>
      </c>
      <c r="C163" s="3" t="s">
        <v>252</v>
      </c>
      <c r="D163" s="3" t="n">
        <f aca="false">'Yao data'!B11</f>
        <v>2003</v>
      </c>
      <c r="E163" s="48" t="s">
        <v>253</v>
      </c>
      <c r="F163" s="32" t="s">
        <v>51</v>
      </c>
      <c r="G163" s="3" t="s">
        <v>75</v>
      </c>
      <c r="H163" s="3" t="s">
        <v>47</v>
      </c>
      <c r="I163" s="3" t="s">
        <v>53</v>
      </c>
      <c r="J163" s="3" t="s">
        <v>75</v>
      </c>
      <c r="K163" s="3" t="s">
        <v>75</v>
      </c>
      <c r="L163" s="3" t="s">
        <v>75</v>
      </c>
      <c r="M163" s="3" t="s">
        <v>75</v>
      </c>
      <c r="N163" s="3" t="s">
        <v>53</v>
      </c>
      <c r="O163" s="3" t="s">
        <v>75</v>
      </c>
      <c r="P163" s="3" t="s">
        <v>55</v>
      </c>
      <c r="Q163" s="32" t="s">
        <v>56</v>
      </c>
      <c r="R163" s="3" t="s">
        <v>47</v>
      </c>
      <c r="S163" s="3" t="s">
        <v>53</v>
      </c>
      <c r="T163" s="3" t="s">
        <v>53</v>
      </c>
      <c r="U163" s="3" t="s">
        <v>47</v>
      </c>
      <c r="V163" s="4" t="s">
        <v>441</v>
      </c>
      <c r="W163" s="49" t="n">
        <f aca="false">'Yao data'!E11</f>
        <v>16.4819277108434</v>
      </c>
    </row>
    <row r="164" s="30" customFormat="true" ht="47.25" hidden="false" customHeight="false" outlineLevel="0" collapsed="false">
      <c r="A164" s="2"/>
      <c r="B164" s="35" t="s">
        <v>251</v>
      </c>
      <c r="C164" s="3" t="s">
        <v>252</v>
      </c>
      <c r="D164" s="3" t="n">
        <f aca="false">'Yao data'!B12</f>
        <v>2002</v>
      </c>
      <c r="E164" s="48" t="s">
        <v>253</v>
      </c>
      <c r="F164" s="32" t="s">
        <v>51</v>
      </c>
      <c r="G164" s="3" t="s">
        <v>75</v>
      </c>
      <c r="H164" s="3" t="s">
        <v>47</v>
      </c>
      <c r="I164" s="3" t="s">
        <v>53</v>
      </c>
      <c r="J164" s="3" t="s">
        <v>75</v>
      </c>
      <c r="K164" s="3" t="s">
        <v>75</v>
      </c>
      <c r="L164" s="3" t="s">
        <v>75</v>
      </c>
      <c r="M164" s="3" t="s">
        <v>75</v>
      </c>
      <c r="N164" s="3" t="s">
        <v>53</v>
      </c>
      <c r="O164" s="3" t="s">
        <v>75</v>
      </c>
      <c r="P164" s="3" t="s">
        <v>55</v>
      </c>
      <c r="Q164" s="32" t="s">
        <v>56</v>
      </c>
      <c r="R164" s="3" t="s">
        <v>47</v>
      </c>
      <c r="S164" s="3" t="s">
        <v>53</v>
      </c>
      <c r="T164" s="3" t="s">
        <v>53</v>
      </c>
      <c r="U164" s="3" t="s">
        <v>47</v>
      </c>
      <c r="V164" s="4" t="s">
        <v>441</v>
      </c>
      <c r="W164" s="49" t="n">
        <f aca="false">'Yao data'!E12</f>
        <v>17.3493975903614</v>
      </c>
    </row>
    <row r="165" s="30" customFormat="true" ht="47.25" hidden="false" customHeight="false" outlineLevel="0" collapsed="false">
      <c r="A165" s="2"/>
      <c r="B165" s="35" t="s">
        <v>251</v>
      </c>
      <c r="C165" s="3" t="s">
        <v>252</v>
      </c>
      <c r="D165" s="3" t="n">
        <f aca="false">'Yao data'!B13</f>
        <v>2001</v>
      </c>
      <c r="E165" s="48" t="s">
        <v>253</v>
      </c>
      <c r="F165" s="32" t="s">
        <v>51</v>
      </c>
      <c r="G165" s="3" t="s">
        <v>75</v>
      </c>
      <c r="H165" s="3" t="s">
        <v>47</v>
      </c>
      <c r="I165" s="3" t="s">
        <v>53</v>
      </c>
      <c r="J165" s="3" t="s">
        <v>75</v>
      </c>
      <c r="K165" s="3" t="s">
        <v>75</v>
      </c>
      <c r="L165" s="3" t="s">
        <v>75</v>
      </c>
      <c r="M165" s="3" t="s">
        <v>75</v>
      </c>
      <c r="N165" s="3" t="s">
        <v>53</v>
      </c>
      <c r="O165" s="3" t="s">
        <v>75</v>
      </c>
      <c r="P165" s="3" t="s">
        <v>55</v>
      </c>
      <c r="Q165" s="32" t="s">
        <v>56</v>
      </c>
      <c r="R165" s="3" t="s">
        <v>47</v>
      </c>
      <c r="S165" s="3" t="s">
        <v>53</v>
      </c>
      <c r="T165" s="3" t="s">
        <v>53</v>
      </c>
      <c r="U165" s="3" t="s">
        <v>47</v>
      </c>
      <c r="V165" s="4" t="s">
        <v>441</v>
      </c>
      <c r="W165" s="49" t="n">
        <f aca="false">'Yao data'!E13</f>
        <v>17.8915662650602</v>
      </c>
    </row>
    <row r="166" s="51" customFormat="true" ht="15.75" hidden="false" customHeight="false" outlineLevel="0" collapsed="false">
      <c r="A166" s="50"/>
      <c r="B166" s="67"/>
      <c r="C166" s="68"/>
      <c r="D166" s="69"/>
      <c r="E166" s="52"/>
      <c r="F166" s="68"/>
      <c r="G166" s="68"/>
      <c r="H166" s="68"/>
      <c r="I166" s="70"/>
      <c r="J166" s="68"/>
      <c r="K166" s="68"/>
      <c r="L166" s="70"/>
      <c r="M166" s="70"/>
      <c r="N166" s="70"/>
      <c r="O166" s="69"/>
      <c r="P166" s="69"/>
      <c r="Q166" s="70"/>
      <c r="R166" s="68"/>
      <c r="S166" s="69"/>
      <c r="T166" s="69"/>
      <c r="U166" s="69"/>
      <c r="V166" s="71"/>
      <c r="W166" s="72"/>
      <c r="X166" s="50"/>
      <c r="Y166" s="50"/>
      <c r="Z166" s="50"/>
      <c r="AA166" s="50"/>
      <c r="AB166" s="50"/>
      <c r="AC166" s="50"/>
      <c r="AD166" s="50"/>
      <c r="AE166" s="50"/>
      <c r="AF166" s="50"/>
      <c r="AG166" s="50"/>
    </row>
    <row r="167" s="30" customFormat="true" ht="141.75" hidden="false" customHeight="false" outlineLevel="0" collapsed="false">
      <c r="A167" s="2"/>
      <c r="B167" s="2" t="s">
        <v>255</v>
      </c>
      <c r="C167" s="32" t="s">
        <v>256</v>
      </c>
      <c r="D167" s="3" t="n">
        <v>2020</v>
      </c>
      <c r="E167" s="48" t="s">
        <v>4</v>
      </c>
      <c r="F167" s="32" t="s">
        <v>51</v>
      </c>
      <c r="G167" s="3" t="s">
        <v>257</v>
      </c>
      <c r="H167" s="3" t="s">
        <v>47</v>
      </c>
      <c r="I167" s="3" t="s">
        <v>114</v>
      </c>
      <c r="J167" s="3" t="s">
        <v>258</v>
      </c>
      <c r="K167" s="3" t="s">
        <v>259</v>
      </c>
      <c r="L167" s="32" t="s">
        <v>108</v>
      </c>
      <c r="M167" s="3" t="s">
        <v>47</v>
      </c>
      <c r="N167" s="3" t="s">
        <v>82</v>
      </c>
      <c r="O167" s="3" t="s">
        <v>260</v>
      </c>
      <c r="P167" s="3" t="s">
        <v>89</v>
      </c>
      <c r="Q167" s="3" t="s">
        <v>56</v>
      </c>
      <c r="R167" s="3" t="s">
        <v>47</v>
      </c>
      <c r="S167" s="3" t="s">
        <v>53</v>
      </c>
      <c r="T167" s="3" t="s">
        <v>53</v>
      </c>
      <c r="U167" s="3" t="s">
        <v>53</v>
      </c>
      <c r="V167" s="4" t="s">
        <v>442</v>
      </c>
      <c r="W167" s="28" t="n">
        <f aca="false">'Industries data'!P4</f>
        <v>8.30290937034655</v>
      </c>
    </row>
    <row r="168" s="30" customFormat="true" ht="141.75" hidden="false" customHeight="false" outlineLevel="0" collapsed="false">
      <c r="A168" s="2"/>
      <c r="B168" s="2" t="s">
        <v>262</v>
      </c>
      <c r="C168" s="32" t="s">
        <v>256</v>
      </c>
      <c r="D168" s="3" t="n">
        <v>2019</v>
      </c>
      <c r="E168" s="48" t="s">
        <v>4</v>
      </c>
      <c r="F168" s="32" t="s">
        <v>51</v>
      </c>
      <c r="G168" s="3" t="s">
        <v>257</v>
      </c>
      <c r="H168" s="3" t="s">
        <v>47</v>
      </c>
      <c r="I168" s="3" t="s">
        <v>114</v>
      </c>
      <c r="J168" s="3" t="s">
        <v>258</v>
      </c>
      <c r="K168" s="3" t="s">
        <v>259</v>
      </c>
      <c r="L168" s="32" t="s">
        <v>108</v>
      </c>
      <c r="M168" s="3" t="s">
        <v>47</v>
      </c>
      <c r="N168" s="3" t="s">
        <v>82</v>
      </c>
      <c r="O168" s="3" t="s">
        <v>260</v>
      </c>
      <c r="P168" s="3" t="s">
        <v>89</v>
      </c>
      <c r="Q168" s="3" t="s">
        <v>56</v>
      </c>
      <c r="R168" s="3" t="s">
        <v>47</v>
      </c>
      <c r="S168" s="3" t="s">
        <v>53</v>
      </c>
      <c r="T168" s="3" t="s">
        <v>53</v>
      </c>
      <c r="U168" s="3" t="s">
        <v>53</v>
      </c>
      <c r="V168" s="4" t="s">
        <v>442</v>
      </c>
      <c r="W168" s="28" t="n">
        <f aca="false">'Industries data'!P5</f>
        <v>10.780436531492</v>
      </c>
    </row>
    <row r="169" s="30" customFormat="true" ht="141.75" hidden="false" customHeight="false" outlineLevel="0" collapsed="false">
      <c r="A169" s="2"/>
      <c r="B169" s="2" t="s">
        <v>263</v>
      </c>
      <c r="C169" s="32" t="s">
        <v>256</v>
      </c>
      <c r="D169" s="3" t="n">
        <v>2018</v>
      </c>
      <c r="E169" s="48" t="s">
        <v>4</v>
      </c>
      <c r="F169" s="32" t="s">
        <v>51</v>
      </c>
      <c r="G169" s="3" t="s">
        <v>257</v>
      </c>
      <c r="H169" s="3" t="s">
        <v>47</v>
      </c>
      <c r="I169" s="3" t="s">
        <v>114</v>
      </c>
      <c r="J169" s="3" t="s">
        <v>258</v>
      </c>
      <c r="K169" s="3" t="s">
        <v>259</v>
      </c>
      <c r="L169" s="32" t="s">
        <v>108</v>
      </c>
      <c r="M169" s="3" t="s">
        <v>47</v>
      </c>
      <c r="N169" s="3" t="s">
        <v>82</v>
      </c>
      <c r="O169" s="3" t="s">
        <v>260</v>
      </c>
      <c r="P169" s="3" t="s">
        <v>89</v>
      </c>
      <c r="Q169" s="3" t="s">
        <v>56</v>
      </c>
      <c r="R169" s="3" t="s">
        <v>47</v>
      </c>
      <c r="S169" s="3" t="s">
        <v>53</v>
      </c>
      <c r="T169" s="3" t="s">
        <v>53</v>
      </c>
      <c r="U169" s="3" t="s">
        <v>53</v>
      </c>
      <c r="V169" s="4" t="s">
        <v>442</v>
      </c>
      <c r="W169" s="28" t="n">
        <f aca="false">'Industries data'!P6</f>
        <v>10.169469974561</v>
      </c>
    </row>
    <row r="170" s="30" customFormat="true" ht="141.75" hidden="false" customHeight="false" outlineLevel="0" collapsed="false">
      <c r="A170" s="2"/>
      <c r="B170" s="2" t="s">
        <v>264</v>
      </c>
      <c r="C170" s="32" t="s">
        <v>256</v>
      </c>
      <c r="D170" s="3" t="n">
        <v>2017</v>
      </c>
      <c r="E170" s="48" t="s">
        <v>4</v>
      </c>
      <c r="F170" s="32" t="s">
        <v>51</v>
      </c>
      <c r="G170" s="3" t="s">
        <v>257</v>
      </c>
      <c r="H170" s="3" t="s">
        <v>47</v>
      </c>
      <c r="I170" s="3" t="s">
        <v>114</v>
      </c>
      <c r="J170" s="3" t="s">
        <v>258</v>
      </c>
      <c r="K170" s="3" t="s">
        <v>259</v>
      </c>
      <c r="L170" s="32" t="s">
        <v>108</v>
      </c>
      <c r="M170" s="3" t="s">
        <v>47</v>
      </c>
      <c r="N170" s="3" t="s">
        <v>82</v>
      </c>
      <c r="O170" s="3" t="s">
        <v>260</v>
      </c>
      <c r="P170" s="3" t="s">
        <v>89</v>
      </c>
      <c r="Q170" s="3" t="s">
        <v>56</v>
      </c>
      <c r="R170" s="3" t="s">
        <v>47</v>
      </c>
      <c r="S170" s="3" t="s">
        <v>53</v>
      </c>
      <c r="T170" s="3" t="s">
        <v>53</v>
      </c>
      <c r="U170" s="3" t="s">
        <v>53</v>
      </c>
      <c r="V170" s="4" t="s">
        <v>442</v>
      </c>
      <c r="W170" s="28" t="n">
        <f aca="false">'Industries data'!P7</f>
        <v>10.5733617954451</v>
      </c>
    </row>
    <row r="171" s="30" customFormat="true" ht="141.75" hidden="false" customHeight="false" outlineLevel="0" collapsed="false">
      <c r="A171" s="2"/>
      <c r="B171" s="2" t="s">
        <v>265</v>
      </c>
      <c r="C171" s="32" t="s">
        <v>256</v>
      </c>
      <c r="D171" s="3" t="n">
        <v>2016</v>
      </c>
      <c r="E171" s="48" t="s">
        <v>4</v>
      </c>
      <c r="F171" s="32" t="s">
        <v>51</v>
      </c>
      <c r="G171" s="3" t="s">
        <v>257</v>
      </c>
      <c r="H171" s="3" t="s">
        <v>47</v>
      </c>
      <c r="I171" s="3" t="s">
        <v>114</v>
      </c>
      <c r="J171" s="3" t="s">
        <v>258</v>
      </c>
      <c r="K171" s="3" t="s">
        <v>259</v>
      </c>
      <c r="L171" s="32" t="s">
        <v>108</v>
      </c>
      <c r="M171" s="3" t="s">
        <v>47</v>
      </c>
      <c r="N171" s="3" t="s">
        <v>82</v>
      </c>
      <c r="O171" s="3" t="s">
        <v>260</v>
      </c>
      <c r="P171" s="3" t="s">
        <v>89</v>
      </c>
      <c r="Q171" s="3" t="s">
        <v>56</v>
      </c>
      <c r="R171" s="3" t="s">
        <v>47</v>
      </c>
      <c r="S171" s="3" t="s">
        <v>53</v>
      </c>
      <c r="T171" s="3" t="s">
        <v>53</v>
      </c>
      <c r="U171" s="3" t="s">
        <v>53</v>
      </c>
      <c r="V171" s="4" t="s">
        <v>442</v>
      </c>
      <c r="W171" s="28" t="n">
        <f aca="false">'Industries data'!P8</f>
        <v>10.6740697193526</v>
      </c>
    </row>
    <row r="172" s="30" customFormat="true" ht="141.75" hidden="false" customHeight="false" outlineLevel="0" collapsed="false">
      <c r="A172" s="2"/>
      <c r="B172" s="2" t="s">
        <v>266</v>
      </c>
      <c r="C172" s="32" t="s">
        <v>256</v>
      </c>
      <c r="D172" s="3" t="n">
        <v>2015</v>
      </c>
      <c r="E172" s="48" t="s">
        <v>4</v>
      </c>
      <c r="F172" s="32" t="s">
        <v>51</v>
      </c>
      <c r="G172" s="3" t="s">
        <v>257</v>
      </c>
      <c r="H172" s="3" t="s">
        <v>47</v>
      </c>
      <c r="I172" s="3" t="s">
        <v>114</v>
      </c>
      <c r="J172" s="3" t="s">
        <v>258</v>
      </c>
      <c r="K172" s="3" t="s">
        <v>259</v>
      </c>
      <c r="L172" s="32" t="s">
        <v>108</v>
      </c>
      <c r="M172" s="3" t="s">
        <v>47</v>
      </c>
      <c r="N172" s="3" t="s">
        <v>82</v>
      </c>
      <c r="O172" s="3" t="s">
        <v>260</v>
      </c>
      <c r="P172" s="3" t="s">
        <v>89</v>
      </c>
      <c r="Q172" s="3" t="s">
        <v>56</v>
      </c>
      <c r="R172" s="3" t="s">
        <v>47</v>
      </c>
      <c r="S172" s="3" t="s">
        <v>53</v>
      </c>
      <c r="T172" s="3" t="s">
        <v>53</v>
      </c>
      <c r="U172" s="3" t="s">
        <v>53</v>
      </c>
      <c r="V172" s="4" t="s">
        <v>442</v>
      </c>
      <c r="W172" s="28" t="n">
        <f aca="false">'Industries data'!P9</f>
        <v>11.21732426849</v>
      </c>
    </row>
    <row r="173" s="30" customFormat="true" ht="141.75" hidden="false" customHeight="false" outlineLevel="0" collapsed="false">
      <c r="A173" s="2"/>
      <c r="B173" s="2" t="s">
        <v>267</v>
      </c>
      <c r="C173" s="32" t="s">
        <v>256</v>
      </c>
      <c r="D173" s="3" t="n">
        <v>2014</v>
      </c>
      <c r="E173" s="48" t="s">
        <v>4</v>
      </c>
      <c r="F173" s="32" t="s">
        <v>51</v>
      </c>
      <c r="G173" s="3" t="s">
        <v>257</v>
      </c>
      <c r="H173" s="3" t="s">
        <v>47</v>
      </c>
      <c r="I173" s="3" t="s">
        <v>114</v>
      </c>
      <c r="J173" s="3" t="s">
        <v>258</v>
      </c>
      <c r="K173" s="3" t="s">
        <v>259</v>
      </c>
      <c r="L173" s="32" t="s">
        <v>108</v>
      </c>
      <c r="M173" s="3" t="s">
        <v>47</v>
      </c>
      <c r="N173" s="3" t="s">
        <v>82</v>
      </c>
      <c r="O173" s="3" t="s">
        <v>260</v>
      </c>
      <c r="P173" s="3" t="s">
        <v>89</v>
      </c>
      <c r="Q173" s="3" t="s">
        <v>56</v>
      </c>
      <c r="R173" s="3" t="s">
        <v>47</v>
      </c>
      <c r="S173" s="3" t="s">
        <v>53</v>
      </c>
      <c r="T173" s="3" t="s">
        <v>53</v>
      </c>
      <c r="U173" s="3" t="s">
        <v>53</v>
      </c>
      <c r="V173" s="4" t="s">
        <v>442</v>
      </c>
      <c r="W173" s="28" t="n">
        <f aca="false">'Industries data'!P10</f>
        <v>11.9999338293406</v>
      </c>
    </row>
    <row r="174" s="30" customFormat="true" ht="141.75" hidden="false" customHeight="false" outlineLevel="0" collapsed="false">
      <c r="A174" s="2"/>
      <c r="B174" s="2" t="s">
        <v>268</v>
      </c>
      <c r="C174" s="32" t="s">
        <v>256</v>
      </c>
      <c r="D174" s="3" t="n">
        <v>2013</v>
      </c>
      <c r="E174" s="48" t="s">
        <v>4</v>
      </c>
      <c r="F174" s="32" t="s">
        <v>51</v>
      </c>
      <c r="G174" s="3" t="s">
        <v>257</v>
      </c>
      <c r="H174" s="3" t="s">
        <v>47</v>
      </c>
      <c r="I174" s="3" t="s">
        <v>114</v>
      </c>
      <c r="J174" s="3" t="s">
        <v>258</v>
      </c>
      <c r="K174" s="3" t="s">
        <v>259</v>
      </c>
      <c r="L174" s="32" t="s">
        <v>108</v>
      </c>
      <c r="M174" s="3" t="s">
        <v>47</v>
      </c>
      <c r="N174" s="3" t="s">
        <v>82</v>
      </c>
      <c r="O174" s="3" t="s">
        <v>260</v>
      </c>
      <c r="P174" s="3" t="s">
        <v>89</v>
      </c>
      <c r="Q174" s="3" t="s">
        <v>56</v>
      </c>
      <c r="R174" s="3" t="s">
        <v>47</v>
      </c>
      <c r="S174" s="3" t="s">
        <v>53</v>
      </c>
      <c r="T174" s="3" t="s">
        <v>53</v>
      </c>
      <c r="U174" s="3" t="s">
        <v>53</v>
      </c>
      <c r="V174" s="4" t="s">
        <v>442</v>
      </c>
      <c r="W174" s="28" t="n">
        <f aca="false">'Industries data'!P11</f>
        <v>12.4004647592464</v>
      </c>
    </row>
    <row r="175" s="30" customFormat="true" ht="141.75" hidden="false" customHeight="false" outlineLevel="0" collapsed="false">
      <c r="A175" s="2"/>
      <c r="B175" s="2" t="s">
        <v>269</v>
      </c>
      <c r="C175" s="32" t="s">
        <v>256</v>
      </c>
      <c r="D175" s="3" t="n">
        <v>2012</v>
      </c>
      <c r="E175" s="48" t="s">
        <v>4</v>
      </c>
      <c r="F175" s="32" t="s">
        <v>51</v>
      </c>
      <c r="G175" s="3" t="s">
        <v>257</v>
      </c>
      <c r="H175" s="3" t="s">
        <v>47</v>
      </c>
      <c r="I175" s="3" t="s">
        <v>114</v>
      </c>
      <c r="J175" s="3" t="s">
        <v>258</v>
      </c>
      <c r="K175" s="3" t="s">
        <v>259</v>
      </c>
      <c r="L175" s="32" t="s">
        <v>108</v>
      </c>
      <c r="M175" s="3" t="s">
        <v>47</v>
      </c>
      <c r="N175" s="3" t="s">
        <v>82</v>
      </c>
      <c r="O175" s="3" t="s">
        <v>260</v>
      </c>
      <c r="P175" s="3" t="s">
        <v>89</v>
      </c>
      <c r="Q175" s="3" t="s">
        <v>56</v>
      </c>
      <c r="R175" s="3" t="s">
        <v>47</v>
      </c>
      <c r="S175" s="3" t="s">
        <v>53</v>
      </c>
      <c r="T175" s="3" t="s">
        <v>53</v>
      </c>
      <c r="U175" s="3" t="s">
        <v>53</v>
      </c>
      <c r="V175" s="4" t="s">
        <v>442</v>
      </c>
      <c r="W175" s="28" t="n">
        <f aca="false">'Industries data'!P12</f>
        <v>13.2759888575003</v>
      </c>
    </row>
    <row r="176" s="30" customFormat="true" ht="141.75" hidden="false" customHeight="false" outlineLevel="0" collapsed="false">
      <c r="A176" s="2"/>
      <c r="B176" s="2" t="s">
        <v>270</v>
      </c>
      <c r="C176" s="32" t="s">
        <v>256</v>
      </c>
      <c r="D176" s="3" t="n">
        <v>2011</v>
      </c>
      <c r="E176" s="48" t="s">
        <v>4</v>
      </c>
      <c r="F176" s="32" t="s">
        <v>51</v>
      </c>
      <c r="G176" s="3" t="s">
        <v>257</v>
      </c>
      <c r="H176" s="3" t="s">
        <v>47</v>
      </c>
      <c r="I176" s="3" t="s">
        <v>114</v>
      </c>
      <c r="J176" s="3" t="s">
        <v>258</v>
      </c>
      <c r="K176" s="3" t="s">
        <v>259</v>
      </c>
      <c r="L176" s="32" t="s">
        <v>108</v>
      </c>
      <c r="M176" s="3" t="s">
        <v>47</v>
      </c>
      <c r="N176" s="3" t="s">
        <v>82</v>
      </c>
      <c r="O176" s="3" t="s">
        <v>260</v>
      </c>
      <c r="P176" s="3" t="s">
        <v>89</v>
      </c>
      <c r="Q176" s="3" t="s">
        <v>56</v>
      </c>
      <c r="R176" s="3" t="s">
        <v>47</v>
      </c>
      <c r="S176" s="3" t="s">
        <v>53</v>
      </c>
      <c r="T176" s="3" t="s">
        <v>53</v>
      </c>
      <c r="U176" s="3" t="s">
        <v>53</v>
      </c>
      <c r="V176" s="4" t="s">
        <v>442</v>
      </c>
      <c r="W176" s="28" t="n">
        <f aca="false">'Industries data'!P13</f>
        <v>13.2510232265815</v>
      </c>
    </row>
    <row r="177" s="47" customFormat="true" ht="15.75" hidden="false" customHeight="false" outlineLevel="0" collapsed="false">
      <c r="A177" s="40"/>
      <c r="B177" s="40"/>
      <c r="C177" s="41" t="s">
        <v>169</v>
      </c>
      <c r="D177" s="42"/>
      <c r="E177" s="43"/>
      <c r="F177" s="41" t="s">
        <v>169</v>
      </c>
      <c r="G177" s="42"/>
      <c r="H177" s="42"/>
      <c r="I177" s="42"/>
      <c r="J177" s="42"/>
      <c r="K177" s="42"/>
      <c r="L177" s="41"/>
      <c r="M177" s="42"/>
      <c r="N177" s="42"/>
      <c r="O177" s="42"/>
      <c r="P177" s="42"/>
      <c r="Q177" s="42"/>
      <c r="R177" s="42"/>
      <c r="S177" s="42"/>
      <c r="T177" s="42"/>
      <c r="U177" s="42"/>
      <c r="V177" s="44"/>
      <c r="W177" s="45"/>
      <c r="X177" s="46"/>
      <c r="Y177" s="46"/>
      <c r="Z177" s="40"/>
      <c r="AA177" s="40"/>
      <c r="AB177" s="40"/>
      <c r="AC177" s="40"/>
      <c r="AD177" s="40"/>
      <c r="AE177" s="40"/>
      <c r="AF177" s="40"/>
      <c r="AG177" s="40"/>
    </row>
    <row r="178" s="30" customFormat="true" ht="157.5" hidden="false" customHeight="false" outlineLevel="0" collapsed="false">
      <c r="A178" s="2"/>
      <c r="B178" s="2" t="s">
        <v>271</v>
      </c>
      <c r="C178" s="32" t="s">
        <v>272</v>
      </c>
      <c r="D178" s="3" t="n">
        <v>2020</v>
      </c>
      <c r="E178" s="20" t="s">
        <v>4</v>
      </c>
      <c r="F178" s="32" t="s">
        <v>51</v>
      </c>
      <c r="G178" s="3" t="s">
        <v>257</v>
      </c>
      <c r="H178" s="3" t="s">
        <v>47</v>
      </c>
      <c r="I178" s="3" t="s">
        <v>114</v>
      </c>
      <c r="J178" s="3" t="s">
        <v>258</v>
      </c>
      <c r="K178" s="3" t="s">
        <v>259</v>
      </c>
      <c r="L178" s="32" t="s">
        <v>108</v>
      </c>
      <c r="M178" s="3" t="s">
        <v>47</v>
      </c>
      <c r="N178" s="3" t="s">
        <v>82</v>
      </c>
      <c r="O178" s="3" t="s">
        <v>260</v>
      </c>
      <c r="P178" s="3" t="s">
        <v>89</v>
      </c>
      <c r="Q178" s="3" t="s">
        <v>56</v>
      </c>
      <c r="R178" s="3" t="s">
        <v>47</v>
      </c>
      <c r="S178" s="3" t="s">
        <v>53</v>
      </c>
      <c r="T178" s="3" t="s">
        <v>53</v>
      </c>
      <c r="U178" s="3" t="s">
        <v>53</v>
      </c>
      <c r="V178" s="4" t="s">
        <v>443</v>
      </c>
      <c r="W178" s="28" t="n">
        <f aca="false">'Industries data'!P15</f>
        <v>17.2671741410948</v>
      </c>
    </row>
    <row r="179" s="30" customFormat="true" ht="157.5" hidden="false" customHeight="false" outlineLevel="0" collapsed="false">
      <c r="A179" s="2"/>
      <c r="B179" s="2" t="s">
        <v>274</v>
      </c>
      <c r="C179" s="32" t="s">
        <v>272</v>
      </c>
      <c r="D179" s="3" t="n">
        <v>2019</v>
      </c>
      <c r="E179" s="20" t="s">
        <v>4</v>
      </c>
      <c r="F179" s="32" t="s">
        <v>51</v>
      </c>
      <c r="G179" s="3" t="s">
        <v>257</v>
      </c>
      <c r="H179" s="3" t="s">
        <v>47</v>
      </c>
      <c r="I179" s="3" t="s">
        <v>114</v>
      </c>
      <c r="J179" s="3" t="s">
        <v>258</v>
      </c>
      <c r="K179" s="3" t="s">
        <v>259</v>
      </c>
      <c r="L179" s="32" t="s">
        <v>108</v>
      </c>
      <c r="M179" s="3" t="s">
        <v>47</v>
      </c>
      <c r="N179" s="3" t="s">
        <v>82</v>
      </c>
      <c r="O179" s="3" t="s">
        <v>260</v>
      </c>
      <c r="P179" s="3" t="s">
        <v>89</v>
      </c>
      <c r="Q179" s="3" t="s">
        <v>56</v>
      </c>
      <c r="R179" s="3" t="s">
        <v>47</v>
      </c>
      <c r="S179" s="3" t="s">
        <v>53</v>
      </c>
      <c r="T179" s="3" t="s">
        <v>53</v>
      </c>
      <c r="U179" s="3" t="s">
        <v>53</v>
      </c>
      <c r="V179" s="4" t="s">
        <v>443</v>
      </c>
      <c r="W179" s="28" t="n">
        <f aca="false">'Industries data'!P16</f>
        <v>15.4627940692545</v>
      </c>
    </row>
    <row r="180" s="30" customFormat="true" ht="157.5" hidden="false" customHeight="false" outlineLevel="0" collapsed="false">
      <c r="A180" s="2"/>
      <c r="B180" s="2" t="s">
        <v>275</v>
      </c>
      <c r="C180" s="32" t="s">
        <v>272</v>
      </c>
      <c r="D180" s="3" t="n">
        <v>2018</v>
      </c>
      <c r="E180" s="20" t="s">
        <v>4</v>
      </c>
      <c r="F180" s="32" t="s">
        <v>51</v>
      </c>
      <c r="G180" s="3" t="s">
        <v>257</v>
      </c>
      <c r="H180" s="3" t="s">
        <v>47</v>
      </c>
      <c r="I180" s="3" t="s">
        <v>114</v>
      </c>
      <c r="J180" s="3" t="s">
        <v>258</v>
      </c>
      <c r="K180" s="3" t="s">
        <v>259</v>
      </c>
      <c r="L180" s="32" t="s">
        <v>108</v>
      </c>
      <c r="M180" s="3" t="s">
        <v>47</v>
      </c>
      <c r="N180" s="3" t="s">
        <v>82</v>
      </c>
      <c r="O180" s="3" t="s">
        <v>260</v>
      </c>
      <c r="P180" s="3" t="s">
        <v>89</v>
      </c>
      <c r="Q180" s="3" t="s">
        <v>56</v>
      </c>
      <c r="R180" s="3" t="s">
        <v>47</v>
      </c>
      <c r="S180" s="3" t="s">
        <v>53</v>
      </c>
      <c r="T180" s="3" t="s">
        <v>53</v>
      </c>
      <c r="U180" s="3" t="s">
        <v>53</v>
      </c>
      <c r="V180" s="4" t="s">
        <v>444</v>
      </c>
      <c r="W180" s="28" t="n">
        <f aca="false">'Industries data'!P17</f>
        <v>14.538862929191</v>
      </c>
    </row>
    <row r="181" s="30" customFormat="true" ht="157.5" hidden="false" customHeight="false" outlineLevel="0" collapsed="false">
      <c r="A181" s="2"/>
      <c r="B181" s="2" t="s">
        <v>277</v>
      </c>
      <c r="C181" s="32" t="s">
        <v>272</v>
      </c>
      <c r="D181" s="32" t="n">
        <v>2017</v>
      </c>
      <c r="E181" s="20" t="s">
        <v>4</v>
      </c>
      <c r="F181" s="32" t="s">
        <v>51</v>
      </c>
      <c r="G181" s="3" t="s">
        <v>257</v>
      </c>
      <c r="H181" s="3" t="s">
        <v>47</v>
      </c>
      <c r="I181" s="3" t="s">
        <v>114</v>
      </c>
      <c r="J181" s="3" t="s">
        <v>258</v>
      </c>
      <c r="K181" s="3" t="s">
        <v>259</v>
      </c>
      <c r="L181" s="32" t="s">
        <v>108</v>
      </c>
      <c r="M181" s="3" t="s">
        <v>47</v>
      </c>
      <c r="N181" s="3" t="s">
        <v>82</v>
      </c>
      <c r="O181" s="3" t="s">
        <v>260</v>
      </c>
      <c r="P181" s="3" t="s">
        <v>89</v>
      </c>
      <c r="Q181" s="3" t="s">
        <v>56</v>
      </c>
      <c r="R181" s="3" t="s">
        <v>47</v>
      </c>
      <c r="S181" s="3" t="s">
        <v>53</v>
      </c>
      <c r="T181" s="3" t="s">
        <v>53</v>
      </c>
      <c r="U181" s="3" t="s">
        <v>53</v>
      </c>
      <c r="V181" s="4" t="s">
        <v>445</v>
      </c>
      <c r="W181" s="28" t="n">
        <f aca="false">'Industries data'!P18</f>
        <v>14.5002167830308</v>
      </c>
    </row>
    <row r="182" s="30" customFormat="true" ht="157.5" hidden="false" customHeight="false" outlineLevel="0" collapsed="false">
      <c r="A182" s="2"/>
      <c r="B182" s="2" t="s">
        <v>279</v>
      </c>
      <c r="C182" s="32" t="s">
        <v>272</v>
      </c>
      <c r="D182" s="3" t="n">
        <v>2016</v>
      </c>
      <c r="E182" s="20" t="s">
        <v>4</v>
      </c>
      <c r="F182" s="32" t="s">
        <v>51</v>
      </c>
      <c r="G182" s="3" t="s">
        <v>257</v>
      </c>
      <c r="H182" s="3" t="s">
        <v>47</v>
      </c>
      <c r="I182" s="3" t="s">
        <v>114</v>
      </c>
      <c r="J182" s="3" t="s">
        <v>258</v>
      </c>
      <c r="K182" s="3" t="s">
        <v>259</v>
      </c>
      <c r="L182" s="32" t="s">
        <v>108</v>
      </c>
      <c r="M182" s="3" t="s">
        <v>47</v>
      </c>
      <c r="N182" s="3" t="s">
        <v>82</v>
      </c>
      <c r="O182" s="3" t="s">
        <v>260</v>
      </c>
      <c r="P182" s="3" t="s">
        <v>89</v>
      </c>
      <c r="Q182" s="3" t="s">
        <v>56</v>
      </c>
      <c r="R182" s="3" t="s">
        <v>47</v>
      </c>
      <c r="S182" s="3" t="s">
        <v>53</v>
      </c>
      <c r="T182" s="3" t="s">
        <v>53</v>
      </c>
      <c r="U182" s="3" t="s">
        <v>53</v>
      </c>
      <c r="V182" s="4" t="s">
        <v>446</v>
      </c>
      <c r="W182" s="28" t="n">
        <f aca="false">'Industries data'!P19</f>
        <v>13.0917609973415</v>
      </c>
    </row>
    <row r="183" s="30" customFormat="true" ht="157.5" hidden="false" customHeight="false" outlineLevel="0" collapsed="false">
      <c r="A183" s="2"/>
      <c r="B183" s="2" t="s">
        <v>281</v>
      </c>
      <c r="C183" s="32" t="s">
        <v>272</v>
      </c>
      <c r="D183" s="3" t="n">
        <v>2015</v>
      </c>
      <c r="E183" s="20" t="s">
        <v>4</v>
      </c>
      <c r="F183" s="32" t="s">
        <v>51</v>
      </c>
      <c r="G183" s="3" t="s">
        <v>257</v>
      </c>
      <c r="H183" s="3" t="s">
        <v>47</v>
      </c>
      <c r="I183" s="3" t="s">
        <v>114</v>
      </c>
      <c r="J183" s="3" t="s">
        <v>258</v>
      </c>
      <c r="K183" s="3" t="s">
        <v>259</v>
      </c>
      <c r="L183" s="32" t="s">
        <v>108</v>
      </c>
      <c r="M183" s="3" t="s">
        <v>47</v>
      </c>
      <c r="N183" s="3" t="s">
        <v>82</v>
      </c>
      <c r="O183" s="3" t="s">
        <v>260</v>
      </c>
      <c r="P183" s="3" t="s">
        <v>89</v>
      </c>
      <c r="Q183" s="3" t="s">
        <v>56</v>
      </c>
      <c r="R183" s="3" t="s">
        <v>47</v>
      </c>
      <c r="S183" s="3" t="s">
        <v>53</v>
      </c>
      <c r="T183" s="3" t="s">
        <v>53</v>
      </c>
      <c r="U183" s="3" t="s">
        <v>53</v>
      </c>
      <c r="V183" s="4" t="s">
        <v>446</v>
      </c>
      <c r="W183" s="28" t="n">
        <f aca="false">'Industries data'!P20</f>
        <v>13.1575487410467</v>
      </c>
    </row>
    <row r="184" s="30" customFormat="true" ht="141.75" hidden="false" customHeight="false" outlineLevel="0" collapsed="false">
      <c r="A184" s="2"/>
      <c r="B184" s="2" t="s">
        <v>282</v>
      </c>
      <c r="C184" s="32" t="s">
        <v>272</v>
      </c>
      <c r="D184" s="3" t="n">
        <v>2014</v>
      </c>
      <c r="E184" s="20" t="s">
        <v>4</v>
      </c>
      <c r="F184" s="32" t="s">
        <v>51</v>
      </c>
      <c r="G184" s="3" t="s">
        <v>257</v>
      </c>
      <c r="H184" s="3" t="s">
        <v>47</v>
      </c>
      <c r="I184" s="3" t="s">
        <v>114</v>
      </c>
      <c r="J184" s="3" t="s">
        <v>258</v>
      </c>
      <c r="K184" s="3" t="s">
        <v>259</v>
      </c>
      <c r="L184" s="32" t="s">
        <v>108</v>
      </c>
      <c r="M184" s="3" t="s">
        <v>47</v>
      </c>
      <c r="N184" s="3" t="s">
        <v>82</v>
      </c>
      <c r="O184" s="3" t="s">
        <v>260</v>
      </c>
      <c r="P184" s="3" t="s">
        <v>89</v>
      </c>
      <c r="Q184" s="3" t="s">
        <v>56</v>
      </c>
      <c r="R184" s="3" t="s">
        <v>47</v>
      </c>
      <c r="S184" s="3" t="s">
        <v>53</v>
      </c>
      <c r="T184" s="3" t="s">
        <v>53</v>
      </c>
      <c r="U184" s="3" t="s">
        <v>53</v>
      </c>
      <c r="V184" s="4" t="s">
        <v>447</v>
      </c>
      <c r="W184" s="28" t="n">
        <f aca="false">'Industries data'!P21</f>
        <v>12.4355967827815</v>
      </c>
    </row>
    <row r="185" s="30" customFormat="true" ht="141.75" hidden="false" customHeight="false" outlineLevel="0" collapsed="false">
      <c r="A185" s="2"/>
      <c r="B185" s="2" t="s">
        <v>284</v>
      </c>
      <c r="C185" s="32" t="s">
        <v>272</v>
      </c>
      <c r="D185" s="3" t="n">
        <v>2013</v>
      </c>
      <c r="E185" s="20" t="s">
        <v>4</v>
      </c>
      <c r="F185" s="32" t="s">
        <v>51</v>
      </c>
      <c r="G185" s="3" t="s">
        <v>257</v>
      </c>
      <c r="H185" s="3" t="s">
        <v>47</v>
      </c>
      <c r="I185" s="3" t="s">
        <v>114</v>
      </c>
      <c r="J185" s="3" t="s">
        <v>258</v>
      </c>
      <c r="K185" s="3" t="s">
        <v>259</v>
      </c>
      <c r="L185" s="32" t="s">
        <v>108</v>
      </c>
      <c r="M185" s="3" t="s">
        <v>47</v>
      </c>
      <c r="N185" s="3" t="s">
        <v>82</v>
      </c>
      <c r="O185" s="3" t="s">
        <v>260</v>
      </c>
      <c r="P185" s="3" t="s">
        <v>89</v>
      </c>
      <c r="Q185" s="3" t="s">
        <v>56</v>
      </c>
      <c r="R185" s="3" t="s">
        <v>47</v>
      </c>
      <c r="S185" s="3" t="s">
        <v>53</v>
      </c>
      <c r="T185" s="3" t="s">
        <v>53</v>
      </c>
      <c r="U185" s="3" t="s">
        <v>53</v>
      </c>
      <c r="V185" s="4" t="s">
        <v>448</v>
      </c>
      <c r="W185" s="28" t="n">
        <f aca="false">'Industries data'!P22</f>
        <v>10.5081321019552</v>
      </c>
    </row>
    <row r="186" s="30" customFormat="true" ht="141.75" hidden="false" customHeight="false" outlineLevel="0" collapsed="false">
      <c r="A186" s="2"/>
      <c r="B186" s="2" t="s">
        <v>285</v>
      </c>
      <c r="C186" s="32" t="s">
        <v>272</v>
      </c>
      <c r="D186" s="3" t="n">
        <v>2012</v>
      </c>
      <c r="E186" s="20" t="s">
        <v>4</v>
      </c>
      <c r="F186" s="32" t="s">
        <v>51</v>
      </c>
      <c r="G186" s="3" t="s">
        <v>257</v>
      </c>
      <c r="H186" s="3" t="s">
        <v>47</v>
      </c>
      <c r="I186" s="3" t="s">
        <v>114</v>
      </c>
      <c r="J186" s="3" t="s">
        <v>258</v>
      </c>
      <c r="K186" s="3" t="s">
        <v>259</v>
      </c>
      <c r="L186" s="32" t="s">
        <v>108</v>
      </c>
      <c r="M186" s="3" t="s">
        <v>47</v>
      </c>
      <c r="N186" s="3" t="s">
        <v>82</v>
      </c>
      <c r="O186" s="3" t="s">
        <v>260</v>
      </c>
      <c r="P186" s="3" t="s">
        <v>89</v>
      </c>
      <c r="Q186" s="3" t="s">
        <v>56</v>
      </c>
      <c r="R186" s="3" t="s">
        <v>47</v>
      </c>
      <c r="S186" s="3" t="s">
        <v>53</v>
      </c>
      <c r="T186" s="3" t="s">
        <v>53</v>
      </c>
      <c r="U186" s="3" t="s">
        <v>53</v>
      </c>
      <c r="V186" s="4" t="s">
        <v>447</v>
      </c>
      <c r="W186" s="28" t="n">
        <f aca="false">'Industries data'!P23</f>
        <v>10.0197518981556</v>
      </c>
    </row>
    <row r="187" s="30" customFormat="true" ht="141.75" hidden="false" customHeight="false" outlineLevel="0" collapsed="false">
      <c r="A187" s="2"/>
      <c r="B187" s="2" t="s">
        <v>287</v>
      </c>
      <c r="C187" s="32" t="s">
        <v>272</v>
      </c>
      <c r="D187" s="3" t="n">
        <v>2011</v>
      </c>
      <c r="E187" s="20" t="s">
        <v>4</v>
      </c>
      <c r="F187" s="32" t="s">
        <v>51</v>
      </c>
      <c r="G187" s="3" t="s">
        <v>257</v>
      </c>
      <c r="H187" s="3" t="s">
        <v>47</v>
      </c>
      <c r="I187" s="3" t="s">
        <v>114</v>
      </c>
      <c r="J187" s="3" t="s">
        <v>258</v>
      </c>
      <c r="K187" s="3" t="s">
        <v>259</v>
      </c>
      <c r="L187" s="32" t="s">
        <v>108</v>
      </c>
      <c r="M187" s="3" t="s">
        <v>47</v>
      </c>
      <c r="N187" s="3" t="s">
        <v>82</v>
      </c>
      <c r="O187" s="3" t="s">
        <v>260</v>
      </c>
      <c r="P187" s="3" t="s">
        <v>89</v>
      </c>
      <c r="Q187" s="3" t="s">
        <v>56</v>
      </c>
      <c r="R187" s="3" t="s">
        <v>47</v>
      </c>
      <c r="S187" s="3" t="s">
        <v>53</v>
      </c>
      <c r="T187" s="3" t="s">
        <v>53</v>
      </c>
      <c r="U187" s="3" t="s">
        <v>53</v>
      </c>
      <c r="V187" s="4" t="s">
        <v>448</v>
      </c>
      <c r="W187" s="28" t="n">
        <f aca="false">'Industries data'!P24</f>
        <v>9.95897069069754</v>
      </c>
    </row>
    <row r="188" s="30" customFormat="true" ht="141.75" hidden="false" customHeight="false" outlineLevel="0" collapsed="false">
      <c r="A188" s="2"/>
      <c r="B188" s="2" t="s">
        <v>288</v>
      </c>
      <c r="C188" s="32" t="s">
        <v>272</v>
      </c>
      <c r="D188" s="3" t="n">
        <v>2010</v>
      </c>
      <c r="E188" s="20" t="s">
        <v>4</v>
      </c>
      <c r="F188" s="32" t="s">
        <v>51</v>
      </c>
      <c r="G188" s="3" t="s">
        <v>257</v>
      </c>
      <c r="H188" s="3" t="s">
        <v>47</v>
      </c>
      <c r="I188" s="3" t="s">
        <v>114</v>
      </c>
      <c r="J188" s="3" t="s">
        <v>258</v>
      </c>
      <c r="K188" s="3" t="s">
        <v>259</v>
      </c>
      <c r="L188" s="32" t="s">
        <v>108</v>
      </c>
      <c r="M188" s="3" t="s">
        <v>47</v>
      </c>
      <c r="N188" s="3" t="s">
        <v>82</v>
      </c>
      <c r="O188" s="3" t="s">
        <v>260</v>
      </c>
      <c r="P188" s="3" t="s">
        <v>89</v>
      </c>
      <c r="Q188" s="3" t="s">
        <v>56</v>
      </c>
      <c r="R188" s="3" t="s">
        <v>47</v>
      </c>
      <c r="S188" s="3" t="s">
        <v>53</v>
      </c>
      <c r="T188" s="3" t="s">
        <v>53</v>
      </c>
      <c r="U188" s="3" t="s">
        <v>53</v>
      </c>
      <c r="V188" s="4" t="s">
        <v>449</v>
      </c>
      <c r="W188" s="28" t="n">
        <f aca="false">'Industries data'!P25</f>
        <v>9.90325769377277</v>
      </c>
    </row>
    <row r="189" s="47" customFormat="true" ht="15.75" hidden="false" customHeight="false" outlineLevel="0" collapsed="false">
      <c r="A189" s="40"/>
      <c r="B189" s="40"/>
      <c r="C189" s="41" t="s">
        <v>169</v>
      </c>
      <c r="D189" s="42"/>
      <c r="E189" s="43"/>
      <c r="F189" s="41" t="s">
        <v>169</v>
      </c>
      <c r="G189" s="42"/>
      <c r="H189" s="42"/>
      <c r="I189" s="42"/>
      <c r="J189" s="42"/>
      <c r="K189" s="42"/>
      <c r="L189" s="41"/>
      <c r="M189" s="42"/>
      <c r="N189" s="42"/>
      <c r="O189" s="42"/>
      <c r="P189" s="42"/>
      <c r="Q189" s="42"/>
      <c r="R189" s="42"/>
      <c r="S189" s="42"/>
      <c r="T189" s="42"/>
      <c r="U189" s="42"/>
      <c r="V189" s="44"/>
      <c r="W189" s="45"/>
      <c r="X189" s="46"/>
      <c r="Y189" s="46"/>
      <c r="Z189" s="40"/>
      <c r="AA189" s="40"/>
      <c r="AB189" s="40"/>
      <c r="AC189" s="40"/>
      <c r="AD189" s="40"/>
      <c r="AE189" s="40"/>
      <c r="AF189" s="40"/>
      <c r="AG189" s="40"/>
    </row>
    <row r="190" s="30" customFormat="true" ht="126" hidden="false" customHeight="false" outlineLevel="0" collapsed="false">
      <c r="A190" s="2"/>
      <c r="B190" s="2" t="s">
        <v>290</v>
      </c>
      <c r="C190" s="3" t="s">
        <v>291</v>
      </c>
      <c r="D190" s="3" t="n">
        <v>2020</v>
      </c>
      <c r="E190" s="20" t="s">
        <v>4</v>
      </c>
      <c r="F190" s="3" t="s">
        <v>51</v>
      </c>
      <c r="G190" s="3" t="s">
        <v>257</v>
      </c>
      <c r="H190" s="3" t="s">
        <v>47</v>
      </c>
      <c r="I190" s="3" t="s">
        <v>114</v>
      </c>
      <c r="J190" s="3" t="s">
        <v>58</v>
      </c>
      <c r="K190" s="3" t="s">
        <v>258</v>
      </c>
      <c r="L190" s="32" t="s">
        <v>108</v>
      </c>
      <c r="M190" s="3" t="s">
        <v>47</v>
      </c>
      <c r="N190" s="3" t="s">
        <v>82</v>
      </c>
      <c r="O190" s="3" t="s">
        <v>450</v>
      </c>
      <c r="P190" s="3" t="s">
        <v>89</v>
      </c>
      <c r="Q190" s="3" t="s">
        <v>56</v>
      </c>
      <c r="R190" s="3" t="s">
        <v>47</v>
      </c>
      <c r="S190" s="3" t="s">
        <v>53</v>
      </c>
      <c r="T190" s="3" t="s">
        <v>53</v>
      </c>
      <c r="U190" s="3" t="s">
        <v>53</v>
      </c>
      <c r="V190" s="4" t="s">
        <v>451</v>
      </c>
      <c r="W190" s="28" t="n">
        <f aca="false">'Industries data'!P27</f>
        <v>12.7741460774493</v>
      </c>
    </row>
    <row r="191" s="30" customFormat="true" ht="126" hidden="false" customHeight="false" outlineLevel="0" collapsed="false">
      <c r="A191" s="2"/>
      <c r="B191" s="2" t="s">
        <v>294</v>
      </c>
      <c r="C191" s="3" t="s">
        <v>291</v>
      </c>
      <c r="D191" s="3" t="n">
        <v>2019</v>
      </c>
      <c r="E191" s="20" t="s">
        <v>4</v>
      </c>
      <c r="F191" s="3" t="s">
        <v>51</v>
      </c>
      <c r="G191" s="3" t="s">
        <v>257</v>
      </c>
      <c r="H191" s="3" t="s">
        <v>47</v>
      </c>
      <c r="I191" s="3" t="s">
        <v>114</v>
      </c>
      <c r="J191" s="3" t="s">
        <v>58</v>
      </c>
      <c r="K191" s="3" t="s">
        <v>258</v>
      </c>
      <c r="L191" s="32" t="s">
        <v>108</v>
      </c>
      <c r="M191" s="3" t="s">
        <v>47</v>
      </c>
      <c r="N191" s="3" t="s">
        <v>82</v>
      </c>
      <c r="O191" s="3" t="s">
        <v>450</v>
      </c>
      <c r="P191" s="3" t="s">
        <v>89</v>
      </c>
      <c r="Q191" s="3" t="s">
        <v>56</v>
      </c>
      <c r="R191" s="3" t="s">
        <v>47</v>
      </c>
      <c r="S191" s="3" t="s">
        <v>53</v>
      </c>
      <c r="T191" s="3" t="s">
        <v>53</v>
      </c>
      <c r="U191" s="3" t="s">
        <v>53</v>
      </c>
      <c r="V191" s="4" t="s">
        <v>451</v>
      </c>
      <c r="W191" s="28" t="n">
        <f aca="false">'Industries data'!P28</f>
        <v>11.0762122919704</v>
      </c>
    </row>
    <row r="192" s="30" customFormat="true" ht="126" hidden="false" customHeight="false" outlineLevel="0" collapsed="false">
      <c r="A192" s="2"/>
      <c r="B192" s="2" t="s">
        <v>295</v>
      </c>
      <c r="C192" s="3" t="s">
        <v>291</v>
      </c>
      <c r="D192" s="3" t="n">
        <v>2018</v>
      </c>
      <c r="E192" s="20" t="s">
        <v>4</v>
      </c>
      <c r="F192" s="3" t="s">
        <v>51</v>
      </c>
      <c r="G192" s="3" t="s">
        <v>257</v>
      </c>
      <c r="H192" s="3" t="s">
        <v>47</v>
      </c>
      <c r="I192" s="3" t="s">
        <v>114</v>
      </c>
      <c r="J192" s="3" t="s">
        <v>58</v>
      </c>
      <c r="K192" s="3" t="s">
        <v>258</v>
      </c>
      <c r="L192" s="32" t="s">
        <v>108</v>
      </c>
      <c r="M192" s="3" t="s">
        <v>47</v>
      </c>
      <c r="N192" s="3" t="s">
        <v>82</v>
      </c>
      <c r="O192" s="3" t="s">
        <v>450</v>
      </c>
      <c r="P192" s="3" t="s">
        <v>89</v>
      </c>
      <c r="Q192" s="3" t="s">
        <v>56</v>
      </c>
      <c r="R192" s="3" t="s">
        <v>47</v>
      </c>
      <c r="S192" s="3" t="s">
        <v>53</v>
      </c>
      <c r="T192" s="3" t="s">
        <v>53</v>
      </c>
      <c r="U192" s="3" t="s">
        <v>53</v>
      </c>
      <c r="V192" s="4" t="s">
        <v>451</v>
      </c>
      <c r="W192" s="28" t="n">
        <f aca="false">'Industries data'!P29</f>
        <v>10.5491008610625</v>
      </c>
    </row>
    <row r="193" s="30" customFormat="true" ht="126" hidden="false" customHeight="false" outlineLevel="0" collapsed="false">
      <c r="A193" s="2"/>
      <c r="B193" s="2" t="s">
        <v>296</v>
      </c>
      <c r="C193" s="3" t="s">
        <v>291</v>
      </c>
      <c r="D193" s="3" t="n">
        <v>2017</v>
      </c>
      <c r="E193" s="20" t="s">
        <v>4</v>
      </c>
      <c r="F193" s="3" t="s">
        <v>51</v>
      </c>
      <c r="G193" s="3" t="s">
        <v>257</v>
      </c>
      <c r="H193" s="3" t="s">
        <v>47</v>
      </c>
      <c r="I193" s="3" t="s">
        <v>114</v>
      </c>
      <c r="J193" s="3" t="s">
        <v>58</v>
      </c>
      <c r="K193" s="3" t="s">
        <v>258</v>
      </c>
      <c r="L193" s="32" t="s">
        <v>108</v>
      </c>
      <c r="M193" s="3" t="s">
        <v>47</v>
      </c>
      <c r="N193" s="3" t="s">
        <v>82</v>
      </c>
      <c r="O193" s="3" t="s">
        <v>450</v>
      </c>
      <c r="P193" s="3" t="s">
        <v>89</v>
      </c>
      <c r="Q193" s="3" t="s">
        <v>56</v>
      </c>
      <c r="R193" s="3" t="s">
        <v>47</v>
      </c>
      <c r="S193" s="3" t="s">
        <v>53</v>
      </c>
      <c r="T193" s="3" t="s">
        <v>53</v>
      </c>
      <c r="U193" s="3" t="s">
        <v>53</v>
      </c>
      <c r="V193" s="4" t="s">
        <v>451</v>
      </c>
      <c r="W193" s="28" t="n">
        <f aca="false">'Industries data'!P30</f>
        <v>10.9498249923951</v>
      </c>
    </row>
    <row r="194" s="30" customFormat="true" ht="126" hidden="false" customHeight="false" outlineLevel="0" collapsed="false">
      <c r="A194" s="2"/>
      <c r="B194" s="2" t="s">
        <v>297</v>
      </c>
      <c r="C194" s="3" t="s">
        <v>291</v>
      </c>
      <c r="D194" s="3" t="n">
        <v>2016</v>
      </c>
      <c r="E194" s="20" t="s">
        <v>4</v>
      </c>
      <c r="F194" s="3" t="s">
        <v>51</v>
      </c>
      <c r="G194" s="3" t="s">
        <v>257</v>
      </c>
      <c r="H194" s="3" t="s">
        <v>47</v>
      </c>
      <c r="I194" s="3" t="s">
        <v>114</v>
      </c>
      <c r="J194" s="3" t="s">
        <v>58</v>
      </c>
      <c r="K194" s="3" t="s">
        <v>258</v>
      </c>
      <c r="L194" s="32" t="s">
        <v>108</v>
      </c>
      <c r="M194" s="3" t="s">
        <v>47</v>
      </c>
      <c r="N194" s="3" t="s">
        <v>82</v>
      </c>
      <c r="O194" s="3" t="s">
        <v>450</v>
      </c>
      <c r="P194" s="3" t="s">
        <v>89</v>
      </c>
      <c r="Q194" s="3" t="s">
        <v>56</v>
      </c>
      <c r="R194" s="3" t="s">
        <v>47</v>
      </c>
      <c r="S194" s="3" t="s">
        <v>53</v>
      </c>
      <c r="T194" s="3" t="s">
        <v>53</v>
      </c>
      <c r="U194" s="3" t="s">
        <v>53</v>
      </c>
      <c r="V194" s="4" t="s">
        <v>451</v>
      </c>
      <c r="W194" s="28" t="n">
        <f aca="false">'Industries data'!P31</f>
        <v>12.1620337768197</v>
      </c>
    </row>
    <row r="195" s="30" customFormat="true" ht="126" hidden="false" customHeight="false" outlineLevel="0" collapsed="false">
      <c r="A195" s="2"/>
      <c r="B195" s="2" t="s">
        <v>298</v>
      </c>
      <c r="C195" s="3" t="s">
        <v>291</v>
      </c>
      <c r="D195" s="3" t="n">
        <v>2015</v>
      </c>
      <c r="E195" s="20" t="s">
        <v>4</v>
      </c>
      <c r="F195" s="3" t="s">
        <v>51</v>
      </c>
      <c r="G195" s="3" t="s">
        <v>257</v>
      </c>
      <c r="H195" s="3" t="s">
        <v>47</v>
      </c>
      <c r="I195" s="3" t="s">
        <v>114</v>
      </c>
      <c r="J195" s="3" t="s">
        <v>58</v>
      </c>
      <c r="K195" s="3" t="s">
        <v>258</v>
      </c>
      <c r="L195" s="32" t="s">
        <v>108</v>
      </c>
      <c r="M195" s="3" t="s">
        <v>47</v>
      </c>
      <c r="N195" s="3" t="s">
        <v>82</v>
      </c>
      <c r="O195" s="3" t="s">
        <v>450</v>
      </c>
      <c r="P195" s="3" t="s">
        <v>89</v>
      </c>
      <c r="Q195" s="3" t="s">
        <v>56</v>
      </c>
      <c r="R195" s="3" t="s">
        <v>47</v>
      </c>
      <c r="S195" s="3" t="s">
        <v>53</v>
      </c>
      <c r="T195" s="3" t="s">
        <v>53</v>
      </c>
      <c r="U195" s="3" t="s">
        <v>53</v>
      </c>
      <c r="V195" s="4" t="s">
        <v>451</v>
      </c>
      <c r="W195" s="28" t="n">
        <f aca="false">'Industries data'!P32</f>
        <v>11.8232432329472</v>
      </c>
    </row>
    <row r="196" s="30" customFormat="true" ht="126" hidden="false" customHeight="false" outlineLevel="0" collapsed="false">
      <c r="A196" s="2"/>
      <c r="B196" s="2" t="s">
        <v>299</v>
      </c>
      <c r="C196" s="3" t="s">
        <v>291</v>
      </c>
      <c r="D196" s="3" t="n">
        <v>2014</v>
      </c>
      <c r="E196" s="20" t="s">
        <v>4</v>
      </c>
      <c r="F196" s="3" t="s">
        <v>51</v>
      </c>
      <c r="G196" s="3" t="s">
        <v>257</v>
      </c>
      <c r="H196" s="3" t="s">
        <v>47</v>
      </c>
      <c r="I196" s="3" t="s">
        <v>114</v>
      </c>
      <c r="J196" s="3" t="s">
        <v>58</v>
      </c>
      <c r="K196" s="3" t="s">
        <v>258</v>
      </c>
      <c r="L196" s="32" t="s">
        <v>108</v>
      </c>
      <c r="M196" s="3" t="s">
        <v>47</v>
      </c>
      <c r="N196" s="3" t="s">
        <v>82</v>
      </c>
      <c r="O196" s="3" t="s">
        <v>450</v>
      </c>
      <c r="P196" s="3" t="s">
        <v>89</v>
      </c>
      <c r="Q196" s="3" t="s">
        <v>56</v>
      </c>
      <c r="R196" s="3" t="s">
        <v>47</v>
      </c>
      <c r="S196" s="3" t="s">
        <v>53</v>
      </c>
      <c r="T196" s="3" t="s">
        <v>53</v>
      </c>
      <c r="U196" s="3" t="s">
        <v>53</v>
      </c>
      <c r="V196" s="4" t="s">
        <v>451</v>
      </c>
      <c r="W196" s="28" t="n">
        <f aca="false">'Industries data'!P33</f>
        <v>12.06124407398</v>
      </c>
    </row>
    <row r="197" s="30" customFormat="true" ht="126" hidden="false" customHeight="false" outlineLevel="0" collapsed="false">
      <c r="A197" s="2"/>
      <c r="B197" s="2" t="s">
        <v>300</v>
      </c>
      <c r="C197" s="3" t="s">
        <v>291</v>
      </c>
      <c r="D197" s="3" t="n">
        <v>2013</v>
      </c>
      <c r="E197" s="20" t="s">
        <v>4</v>
      </c>
      <c r="F197" s="3" t="s">
        <v>51</v>
      </c>
      <c r="G197" s="3" t="s">
        <v>257</v>
      </c>
      <c r="H197" s="3" t="s">
        <v>47</v>
      </c>
      <c r="I197" s="3" t="s">
        <v>114</v>
      </c>
      <c r="J197" s="3" t="s">
        <v>58</v>
      </c>
      <c r="K197" s="3" t="s">
        <v>258</v>
      </c>
      <c r="L197" s="32" t="s">
        <v>108</v>
      </c>
      <c r="M197" s="3" t="s">
        <v>47</v>
      </c>
      <c r="N197" s="3" t="s">
        <v>82</v>
      </c>
      <c r="O197" s="3" t="s">
        <v>450</v>
      </c>
      <c r="P197" s="3" t="s">
        <v>89</v>
      </c>
      <c r="Q197" s="3" t="s">
        <v>56</v>
      </c>
      <c r="R197" s="3" t="s">
        <v>47</v>
      </c>
      <c r="S197" s="3" t="s">
        <v>53</v>
      </c>
      <c r="T197" s="3" t="s">
        <v>53</v>
      </c>
      <c r="U197" s="3" t="s">
        <v>53</v>
      </c>
      <c r="V197" s="4" t="s">
        <v>451</v>
      </c>
      <c r="W197" s="28" t="n">
        <f aca="false">'Industries data'!P34</f>
        <v>11.7906003054175</v>
      </c>
    </row>
    <row r="198" s="30" customFormat="true" ht="126" hidden="false" customHeight="false" outlineLevel="0" collapsed="false">
      <c r="A198" s="2"/>
      <c r="B198" s="2" t="s">
        <v>301</v>
      </c>
      <c r="C198" s="3" t="s">
        <v>291</v>
      </c>
      <c r="D198" s="3" t="n">
        <v>2012</v>
      </c>
      <c r="E198" s="20" t="s">
        <v>4</v>
      </c>
      <c r="F198" s="3" t="s">
        <v>51</v>
      </c>
      <c r="G198" s="3" t="s">
        <v>257</v>
      </c>
      <c r="H198" s="3" t="s">
        <v>47</v>
      </c>
      <c r="I198" s="3" t="s">
        <v>114</v>
      </c>
      <c r="J198" s="3" t="s">
        <v>58</v>
      </c>
      <c r="K198" s="3" t="s">
        <v>258</v>
      </c>
      <c r="L198" s="32" t="s">
        <v>108</v>
      </c>
      <c r="M198" s="3" t="s">
        <v>47</v>
      </c>
      <c r="N198" s="3" t="s">
        <v>82</v>
      </c>
      <c r="O198" s="3" t="s">
        <v>450</v>
      </c>
      <c r="P198" s="3" t="s">
        <v>89</v>
      </c>
      <c r="Q198" s="3" t="s">
        <v>56</v>
      </c>
      <c r="R198" s="3" t="s">
        <v>47</v>
      </c>
      <c r="S198" s="3" t="s">
        <v>53</v>
      </c>
      <c r="T198" s="3" t="s">
        <v>53</v>
      </c>
      <c r="U198" s="3" t="s">
        <v>53</v>
      </c>
      <c r="V198" s="4" t="s">
        <v>451</v>
      </c>
      <c r="W198" s="28" t="n">
        <f aca="false">'Industries data'!P35</f>
        <v>12.8941795712107</v>
      </c>
    </row>
    <row r="199" s="30" customFormat="true" ht="126" hidden="false" customHeight="false" outlineLevel="0" collapsed="false">
      <c r="A199" s="2"/>
      <c r="B199" s="2" t="s">
        <v>302</v>
      </c>
      <c r="C199" s="3" t="s">
        <v>291</v>
      </c>
      <c r="D199" s="3" t="n">
        <v>2011</v>
      </c>
      <c r="E199" s="20" t="s">
        <v>4</v>
      </c>
      <c r="F199" s="3" t="s">
        <v>51</v>
      </c>
      <c r="G199" s="3" t="s">
        <v>257</v>
      </c>
      <c r="H199" s="3" t="s">
        <v>47</v>
      </c>
      <c r="I199" s="3" t="s">
        <v>114</v>
      </c>
      <c r="J199" s="3" t="s">
        <v>58</v>
      </c>
      <c r="K199" s="3" t="s">
        <v>258</v>
      </c>
      <c r="L199" s="32" t="s">
        <v>108</v>
      </c>
      <c r="M199" s="3" t="s">
        <v>47</v>
      </c>
      <c r="N199" s="3" t="s">
        <v>82</v>
      </c>
      <c r="O199" s="3" t="s">
        <v>450</v>
      </c>
      <c r="P199" s="3" t="s">
        <v>89</v>
      </c>
      <c r="Q199" s="3" t="s">
        <v>56</v>
      </c>
      <c r="R199" s="3" t="s">
        <v>47</v>
      </c>
      <c r="S199" s="3" t="s">
        <v>53</v>
      </c>
      <c r="T199" s="3" t="s">
        <v>53</v>
      </c>
      <c r="U199" s="3" t="s">
        <v>53</v>
      </c>
      <c r="V199" s="4" t="s">
        <v>451</v>
      </c>
      <c r="W199" s="28" t="n">
        <f aca="false">'Industries data'!P36</f>
        <v>12.74394067643</v>
      </c>
    </row>
    <row r="200" s="47" customFormat="true" ht="15.75" hidden="false" customHeight="false" outlineLevel="0" collapsed="false">
      <c r="A200" s="40"/>
      <c r="B200" s="40"/>
      <c r="C200" s="41" t="s">
        <v>169</v>
      </c>
      <c r="D200" s="42"/>
      <c r="E200" s="43"/>
      <c r="F200" s="41" t="s">
        <v>169</v>
      </c>
      <c r="G200" s="42"/>
      <c r="H200" s="42"/>
      <c r="I200" s="42"/>
      <c r="J200" s="42"/>
      <c r="K200" s="42"/>
      <c r="L200" s="41"/>
      <c r="M200" s="42"/>
      <c r="N200" s="42"/>
      <c r="O200" s="42"/>
      <c r="P200" s="42"/>
      <c r="Q200" s="42"/>
      <c r="R200" s="42"/>
      <c r="S200" s="42"/>
      <c r="T200" s="42"/>
      <c r="U200" s="42"/>
      <c r="V200" s="44"/>
      <c r="W200" s="45"/>
      <c r="X200" s="46"/>
      <c r="Y200" s="46"/>
      <c r="Z200" s="40"/>
      <c r="AA200" s="40"/>
      <c r="AB200" s="40"/>
      <c r="AC200" s="40"/>
      <c r="AD200" s="40"/>
      <c r="AE200" s="40"/>
      <c r="AF200" s="40"/>
      <c r="AG200" s="40"/>
    </row>
    <row r="201" s="30" customFormat="true" ht="141.75" hidden="false" customHeight="false" outlineLevel="0" collapsed="false">
      <c r="A201" s="2"/>
      <c r="B201" s="2" t="s">
        <v>303</v>
      </c>
      <c r="C201" s="3" t="s">
        <v>303</v>
      </c>
      <c r="D201" s="3" t="n">
        <v>2020</v>
      </c>
      <c r="E201" s="20" t="s">
        <v>304</v>
      </c>
      <c r="F201" s="3" t="s">
        <v>51</v>
      </c>
      <c r="G201" s="3" t="s">
        <v>257</v>
      </c>
      <c r="H201" s="3" t="s">
        <v>47</v>
      </c>
      <c r="I201" s="3" t="s">
        <v>114</v>
      </c>
      <c r="J201" s="3" t="s">
        <v>258</v>
      </c>
      <c r="K201" s="3" t="s">
        <v>259</v>
      </c>
      <c r="L201" s="32" t="s">
        <v>108</v>
      </c>
      <c r="M201" s="3" t="s">
        <v>47</v>
      </c>
      <c r="N201" s="3" t="s">
        <v>82</v>
      </c>
      <c r="O201" s="3" t="s">
        <v>260</v>
      </c>
      <c r="P201" s="3" t="s">
        <v>89</v>
      </c>
      <c r="Q201" s="3" t="s">
        <v>56</v>
      </c>
      <c r="R201" s="3" t="s">
        <v>47</v>
      </c>
      <c r="S201" s="3" t="s">
        <v>53</v>
      </c>
      <c r="T201" s="3" t="s">
        <v>53</v>
      </c>
      <c r="U201" s="3" t="s">
        <v>53</v>
      </c>
      <c r="V201" s="4" t="s">
        <v>305</v>
      </c>
      <c r="W201" s="28" t="n">
        <f aca="false">'Industries data'!P38</f>
        <v>9.90249808637137</v>
      </c>
    </row>
    <row r="202" s="30" customFormat="true" ht="141.75" hidden="false" customHeight="false" outlineLevel="0" collapsed="false">
      <c r="A202" s="2"/>
      <c r="B202" s="2" t="s">
        <v>303</v>
      </c>
      <c r="C202" s="3" t="s">
        <v>303</v>
      </c>
      <c r="D202" s="3" t="n">
        <v>2019</v>
      </c>
      <c r="E202" s="20" t="s">
        <v>306</v>
      </c>
      <c r="F202" s="3" t="s">
        <v>51</v>
      </c>
      <c r="G202" s="3" t="s">
        <v>257</v>
      </c>
      <c r="H202" s="3" t="s">
        <v>47</v>
      </c>
      <c r="I202" s="3" t="s">
        <v>114</v>
      </c>
      <c r="J202" s="3" t="s">
        <v>258</v>
      </c>
      <c r="K202" s="3" t="s">
        <v>259</v>
      </c>
      <c r="L202" s="32" t="s">
        <v>108</v>
      </c>
      <c r="M202" s="3" t="s">
        <v>47</v>
      </c>
      <c r="N202" s="3" t="s">
        <v>82</v>
      </c>
      <c r="O202" s="3" t="s">
        <v>260</v>
      </c>
      <c r="P202" s="3" t="s">
        <v>89</v>
      </c>
      <c r="Q202" s="3" t="s">
        <v>56</v>
      </c>
      <c r="R202" s="3" t="s">
        <v>47</v>
      </c>
      <c r="S202" s="3" t="s">
        <v>53</v>
      </c>
      <c r="T202" s="3" t="s">
        <v>53</v>
      </c>
      <c r="U202" s="3" t="s">
        <v>53</v>
      </c>
      <c r="V202" s="4" t="s">
        <v>305</v>
      </c>
      <c r="W202" s="28" t="n">
        <f aca="false">'Industries data'!P39</f>
        <v>9.57285082689715</v>
      </c>
    </row>
    <row r="203" s="30" customFormat="true" ht="141.75" hidden="false" customHeight="false" outlineLevel="0" collapsed="false">
      <c r="A203" s="2"/>
      <c r="B203" s="2" t="s">
        <v>303</v>
      </c>
      <c r="C203" s="3" t="s">
        <v>303</v>
      </c>
      <c r="D203" s="3" t="n">
        <v>2018</v>
      </c>
      <c r="E203" s="20" t="s">
        <v>307</v>
      </c>
      <c r="F203" s="3" t="s">
        <v>51</v>
      </c>
      <c r="G203" s="3" t="s">
        <v>257</v>
      </c>
      <c r="H203" s="3" t="s">
        <v>47</v>
      </c>
      <c r="I203" s="3" t="s">
        <v>114</v>
      </c>
      <c r="J203" s="3" t="s">
        <v>258</v>
      </c>
      <c r="K203" s="3" t="s">
        <v>259</v>
      </c>
      <c r="L203" s="32" t="s">
        <v>108</v>
      </c>
      <c r="M203" s="3" t="s">
        <v>47</v>
      </c>
      <c r="N203" s="3" t="s">
        <v>82</v>
      </c>
      <c r="O203" s="3" t="s">
        <v>260</v>
      </c>
      <c r="P203" s="3" t="s">
        <v>89</v>
      </c>
      <c r="Q203" s="3" t="s">
        <v>56</v>
      </c>
      <c r="R203" s="3" t="s">
        <v>47</v>
      </c>
      <c r="S203" s="3" t="s">
        <v>53</v>
      </c>
      <c r="T203" s="3" t="s">
        <v>53</v>
      </c>
      <c r="U203" s="3" t="s">
        <v>53</v>
      </c>
      <c r="V203" s="4" t="s">
        <v>308</v>
      </c>
      <c r="W203" s="28" t="n">
        <f aca="false">'Industries data'!P40</f>
        <v>10.7006530845508</v>
      </c>
    </row>
    <row r="204" s="30" customFormat="true" ht="141.75" hidden="false" customHeight="false" outlineLevel="0" collapsed="false">
      <c r="A204" s="2"/>
      <c r="B204" s="2" t="s">
        <v>303</v>
      </c>
      <c r="C204" s="3" t="s">
        <v>303</v>
      </c>
      <c r="D204" s="3" t="n">
        <v>2017</v>
      </c>
      <c r="E204" s="20" t="s">
        <v>309</v>
      </c>
      <c r="F204" s="3" t="s">
        <v>51</v>
      </c>
      <c r="G204" s="3" t="s">
        <v>257</v>
      </c>
      <c r="H204" s="3" t="s">
        <v>47</v>
      </c>
      <c r="I204" s="3" t="s">
        <v>114</v>
      </c>
      <c r="J204" s="3" t="s">
        <v>258</v>
      </c>
      <c r="K204" s="3" t="s">
        <v>259</v>
      </c>
      <c r="L204" s="32" t="s">
        <v>108</v>
      </c>
      <c r="M204" s="3" t="s">
        <v>47</v>
      </c>
      <c r="N204" s="3" t="s">
        <v>82</v>
      </c>
      <c r="O204" s="3" t="s">
        <v>260</v>
      </c>
      <c r="P204" s="3" t="s">
        <v>89</v>
      </c>
      <c r="Q204" s="3" t="s">
        <v>56</v>
      </c>
      <c r="R204" s="3" t="s">
        <v>47</v>
      </c>
      <c r="S204" s="3" t="s">
        <v>53</v>
      </c>
      <c r="T204" s="3" t="s">
        <v>53</v>
      </c>
      <c r="U204" s="3" t="s">
        <v>53</v>
      </c>
      <c r="V204" s="4" t="s">
        <v>308</v>
      </c>
      <c r="W204" s="28" t="n">
        <f aca="false">'Industries data'!P41</f>
        <v>11.5381619393323</v>
      </c>
    </row>
    <row r="205" s="30" customFormat="true" ht="141.75" hidden="false" customHeight="false" outlineLevel="0" collapsed="false">
      <c r="A205" s="2"/>
      <c r="B205" s="2" t="s">
        <v>303</v>
      </c>
      <c r="C205" s="3" t="s">
        <v>303</v>
      </c>
      <c r="D205" s="3" t="n">
        <v>2016</v>
      </c>
      <c r="E205" s="20" t="s">
        <v>310</v>
      </c>
      <c r="F205" s="3" t="s">
        <v>51</v>
      </c>
      <c r="G205" s="3" t="s">
        <v>257</v>
      </c>
      <c r="H205" s="3" t="s">
        <v>47</v>
      </c>
      <c r="I205" s="3" t="s">
        <v>114</v>
      </c>
      <c r="J205" s="3" t="s">
        <v>258</v>
      </c>
      <c r="K205" s="3" t="s">
        <v>259</v>
      </c>
      <c r="L205" s="32" t="s">
        <v>108</v>
      </c>
      <c r="M205" s="3" t="s">
        <v>47</v>
      </c>
      <c r="N205" s="3" t="s">
        <v>82</v>
      </c>
      <c r="O205" s="3" t="s">
        <v>260</v>
      </c>
      <c r="P205" s="3" t="s">
        <v>89</v>
      </c>
      <c r="Q205" s="3" t="s">
        <v>56</v>
      </c>
      <c r="R205" s="3" t="s">
        <v>47</v>
      </c>
      <c r="S205" s="3" t="s">
        <v>53</v>
      </c>
      <c r="T205" s="3" t="s">
        <v>53</v>
      </c>
      <c r="U205" s="3" t="s">
        <v>53</v>
      </c>
      <c r="V205" s="4" t="s">
        <v>308</v>
      </c>
      <c r="W205" s="28" t="n">
        <f aca="false">'Industries data'!P42</f>
        <v>10.6710663135761</v>
      </c>
    </row>
    <row r="206" s="30" customFormat="true" ht="141.75" hidden="false" customHeight="false" outlineLevel="0" collapsed="false">
      <c r="A206" s="2"/>
      <c r="B206" s="2" t="s">
        <v>303</v>
      </c>
      <c r="C206" s="3" t="s">
        <v>303</v>
      </c>
      <c r="D206" s="3" t="n">
        <v>2015</v>
      </c>
      <c r="E206" s="20" t="s">
        <v>311</v>
      </c>
      <c r="F206" s="3" t="s">
        <v>51</v>
      </c>
      <c r="G206" s="3" t="s">
        <v>257</v>
      </c>
      <c r="H206" s="3" t="s">
        <v>47</v>
      </c>
      <c r="I206" s="3" t="s">
        <v>114</v>
      </c>
      <c r="J206" s="3" t="s">
        <v>258</v>
      </c>
      <c r="K206" s="3" t="s">
        <v>259</v>
      </c>
      <c r="L206" s="32" t="s">
        <v>108</v>
      </c>
      <c r="M206" s="3" t="s">
        <v>47</v>
      </c>
      <c r="N206" s="3" t="s">
        <v>82</v>
      </c>
      <c r="O206" s="3" t="s">
        <v>260</v>
      </c>
      <c r="P206" s="3" t="s">
        <v>89</v>
      </c>
      <c r="Q206" s="3" t="s">
        <v>56</v>
      </c>
      <c r="R206" s="3" t="s">
        <v>47</v>
      </c>
      <c r="S206" s="3" t="s">
        <v>53</v>
      </c>
      <c r="T206" s="3" t="s">
        <v>53</v>
      </c>
      <c r="U206" s="3" t="s">
        <v>53</v>
      </c>
      <c r="V206" s="4" t="s">
        <v>308</v>
      </c>
      <c r="W206" s="28" t="n">
        <f aca="false">'Industries data'!P43</f>
        <v>10.798172484537</v>
      </c>
    </row>
    <row r="207" s="30" customFormat="true" ht="141.75" hidden="false" customHeight="false" outlineLevel="0" collapsed="false">
      <c r="A207" s="2"/>
      <c r="B207" s="2" t="s">
        <v>303</v>
      </c>
      <c r="C207" s="3" t="s">
        <v>303</v>
      </c>
      <c r="D207" s="3" t="n">
        <v>2014</v>
      </c>
      <c r="E207" s="20" t="s">
        <v>312</v>
      </c>
      <c r="F207" s="3" t="s">
        <v>51</v>
      </c>
      <c r="G207" s="3" t="s">
        <v>257</v>
      </c>
      <c r="H207" s="3" t="s">
        <v>47</v>
      </c>
      <c r="I207" s="3" t="s">
        <v>114</v>
      </c>
      <c r="J207" s="3" t="s">
        <v>258</v>
      </c>
      <c r="K207" s="3" t="s">
        <v>259</v>
      </c>
      <c r="L207" s="32" t="s">
        <v>108</v>
      </c>
      <c r="M207" s="3" t="s">
        <v>47</v>
      </c>
      <c r="N207" s="3" t="s">
        <v>82</v>
      </c>
      <c r="O207" s="3" t="s">
        <v>260</v>
      </c>
      <c r="P207" s="3" t="s">
        <v>89</v>
      </c>
      <c r="Q207" s="3" t="s">
        <v>56</v>
      </c>
      <c r="R207" s="3" t="s">
        <v>47</v>
      </c>
      <c r="S207" s="3" t="s">
        <v>53</v>
      </c>
      <c r="T207" s="3" t="s">
        <v>53</v>
      </c>
      <c r="U207" s="3" t="s">
        <v>53</v>
      </c>
      <c r="V207" s="4" t="s">
        <v>313</v>
      </c>
      <c r="W207" s="28" t="n">
        <f aca="false">'Industries data'!P44</f>
        <v>11.9326795517708</v>
      </c>
    </row>
    <row r="208" s="30" customFormat="true" ht="141.75" hidden="false" customHeight="false" outlineLevel="0" collapsed="false">
      <c r="A208" s="2"/>
      <c r="B208" s="2" t="s">
        <v>303</v>
      </c>
      <c r="C208" s="3" t="s">
        <v>303</v>
      </c>
      <c r="D208" s="3" t="n">
        <v>2013</v>
      </c>
      <c r="E208" s="20" t="s">
        <v>314</v>
      </c>
      <c r="F208" s="3" t="s">
        <v>51</v>
      </c>
      <c r="G208" s="3" t="s">
        <v>257</v>
      </c>
      <c r="H208" s="3" t="s">
        <v>47</v>
      </c>
      <c r="I208" s="3" t="s">
        <v>114</v>
      </c>
      <c r="J208" s="3" t="s">
        <v>258</v>
      </c>
      <c r="K208" s="3" t="s">
        <v>259</v>
      </c>
      <c r="L208" s="32" t="s">
        <v>108</v>
      </c>
      <c r="M208" s="3" t="s">
        <v>47</v>
      </c>
      <c r="N208" s="3" t="s">
        <v>82</v>
      </c>
      <c r="O208" s="3" t="s">
        <v>260</v>
      </c>
      <c r="P208" s="3" t="s">
        <v>89</v>
      </c>
      <c r="Q208" s="3" t="s">
        <v>56</v>
      </c>
      <c r="R208" s="3" t="s">
        <v>47</v>
      </c>
      <c r="S208" s="3" t="s">
        <v>53</v>
      </c>
      <c r="T208" s="3" t="s">
        <v>53</v>
      </c>
      <c r="U208" s="3" t="s">
        <v>53</v>
      </c>
      <c r="V208" s="4" t="s">
        <v>313</v>
      </c>
      <c r="W208" s="28" t="n">
        <f aca="false">'Industries data'!P45</f>
        <v>11.8258898111532</v>
      </c>
    </row>
    <row r="209" s="30" customFormat="true" ht="141.75" hidden="false" customHeight="false" outlineLevel="0" collapsed="false">
      <c r="A209" s="2"/>
      <c r="B209" s="2" t="s">
        <v>303</v>
      </c>
      <c r="C209" s="3" t="s">
        <v>303</v>
      </c>
      <c r="D209" s="3" t="n">
        <v>2012</v>
      </c>
      <c r="E209" s="20" t="s">
        <v>315</v>
      </c>
      <c r="F209" s="3" t="s">
        <v>51</v>
      </c>
      <c r="G209" s="3" t="s">
        <v>257</v>
      </c>
      <c r="H209" s="3" t="s">
        <v>47</v>
      </c>
      <c r="I209" s="3" t="s">
        <v>114</v>
      </c>
      <c r="J209" s="3" t="s">
        <v>258</v>
      </c>
      <c r="K209" s="3" t="s">
        <v>259</v>
      </c>
      <c r="L209" s="32" t="s">
        <v>108</v>
      </c>
      <c r="M209" s="3" t="s">
        <v>47</v>
      </c>
      <c r="N209" s="3" t="s">
        <v>82</v>
      </c>
      <c r="O209" s="3" t="s">
        <v>260</v>
      </c>
      <c r="P209" s="3" t="s">
        <v>89</v>
      </c>
      <c r="Q209" s="3" t="s">
        <v>56</v>
      </c>
      <c r="R209" s="3" t="s">
        <v>47</v>
      </c>
      <c r="S209" s="3" t="s">
        <v>53</v>
      </c>
      <c r="T209" s="3" t="s">
        <v>53</v>
      </c>
      <c r="U209" s="3" t="s">
        <v>53</v>
      </c>
      <c r="V209" s="4" t="s">
        <v>316</v>
      </c>
      <c r="W209" s="28" t="n">
        <f aca="false">'Industries data'!P46</f>
        <v>13.0339424651902</v>
      </c>
    </row>
    <row r="210" s="30" customFormat="true" ht="141.75" hidden="false" customHeight="false" outlineLevel="0" collapsed="false">
      <c r="A210" s="2"/>
      <c r="B210" s="2" t="s">
        <v>303</v>
      </c>
      <c r="C210" s="3" t="s">
        <v>303</v>
      </c>
      <c r="D210" s="3" t="n">
        <v>2011</v>
      </c>
      <c r="E210" s="20" t="s">
        <v>315</v>
      </c>
      <c r="F210" s="3" t="s">
        <v>51</v>
      </c>
      <c r="G210" s="3" t="s">
        <v>257</v>
      </c>
      <c r="H210" s="3" t="s">
        <v>47</v>
      </c>
      <c r="I210" s="3" t="s">
        <v>114</v>
      </c>
      <c r="J210" s="3" t="s">
        <v>258</v>
      </c>
      <c r="K210" s="3" t="s">
        <v>259</v>
      </c>
      <c r="L210" s="32" t="s">
        <v>108</v>
      </c>
      <c r="M210" s="3" t="s">
        <v>47</v>
      </c>
      <c r="N210" s="3" t="s">
        <v>82</v>
      </c>
      <c r="O210" s="3" t="s">
        <v>260</v>
      </c>
      <c r="P210" s="3" t="s">
        <v>89</v>
      </c>
      <c r="Q210" s="3" t="s">
        <v>56</v>
      </c>
      <c r="R210" s="3" t="s">
        <v>47</v>
      </c>
      <c r="S210" s="3" t="s">
        <v>53</v>
      </c>
      <c r="T210" s="3" t="s">
        <v>53</v>
      </c>
      <c r="U210" s="3" t="s">
        <v>53</v>
      </c>
      <c r="V210" s="4" t="s">
        <v>316</v>
      </c>
      <c r="W210" s="28" t="n">
        <f aca="false">'Industries data'!P47</f>
        <v>17.3002505152395</v>
      </c>
    </row>
    <row r="211" s="47" customFormat="true" ht="15.75" hidden="false" customHeight="false" outlineLevel="0" collapsed="false">
      <c r="A211" s="40"/>
      <c r="B211" s="40"/>
      <c r="C211" s="41" t="s">
        <v>169</v>
      </c>
      <c r="D211" s="42"/>
      <c r="E211" s="43"/>
      <c r="F211" s="41" t="s">
        <v>169</v>
      </c>
      <c r="G211" s="42"/>
      <c r="H211" s="42"/>
      <c r="I211" s="42"/>
      <c r="J211" s="42"/>
      <c r="K211" s="42"/>
      <c r="L211" s="41"/>
      <c r="M211" s="42"/>
      <c r="N211" s="42"/>
      <c r="O211" s="42"/>
      <c r="P211" s="42"/>
      <c r="Q211" s="42"/>
      <c r="R211" s="42"/>
      <c r="S211" s="42"/>
      <c r="T211" s="42"/>
      <c r="U211" s="42"/>
      <c r="V211" s="44"/>
      <c r="W211" s="45"/>
      <c r="X211" s="46"/>
      <c r="Y211" s="46"/>
      <c r="Z211" s="40"/>
      <c r="AA211" s="40"/>
      <c r="AB211" s="40"/>
      <c r="AC211" s="40"/>
      <c r="AD211" s="40"/>
      <c r="AE211" s="40"/>
      <c r="AF211" s="40"/>
      <c r="AG211" s="40"/>
    </row>
    <row r="212" s="30" customFormat="true" ht="141.75" hidden="false" customHeight="false" outlineLevel="0" collapsed="false">
      <c r="A212" s="2"/>
      <c r="B212" s="2" t="s">
        <v>317</v>
      </c>
      <c r="C212" s="3" t="s">
        <v>317</v>
      </c>
      <c r="D212" s="3" t="n">
        <v>2020</v>
      </c>
      <c r="E212" s="20" t="s">
        <v>318</v>
      </c>
      <c r="F212" s="3" t="s">
        <v>51</v>
      </c>
      <c r="G212" s="3" t="s">
        <v>257</v>
      </c>
      <c r="H212" s="3" t="s">
        <v>47</v>
      </c>
      <c r="I212" s="3" t="s">
        <v>114</v>
      </c>
      <c r="J212" s="3" t="s">
        <v>258</v>
      </c>
      <c r="K212" s="3" t="s">
        <v>259</v>
      </c>
      <c r="L212" s="32" t="s">
        <v>108</v>
      </c>
      <c r="M212" s="3" t="s">
        <v>47</v>
      </c>
      <c r="N212" s="3" t="s">
        <v>82</v>
      </c>
      <c r="O212" s="3" t="s">
        <v>319</v>
      </c>
      <c r="P212" s="3" t="s">
        <v>89</v>
      </c>
      <c r="Q212" s="3" t="s">
        <v>56</v>
      </c>
      <c r="R212" s="3" t="s">
        <v>47</v>
      </c>
      <c r="S212" s="3" t="s">
        <v>53</v>
      </c>
      <c r="T212" s="3" t="s">
        <v>53</v>
      </c>
      <c r="U212" s="3" t="s">
        <v>53</v>
      </c>
      <c r="V212" s="4" t="s">
        <v>320</v>
      </c>
      <c r="W212" s="28" t="n">
        <f aca="false">'Industries data'!P49</f>
        <v>18.9355181492056</v>
      </c>
    </row>
    <row r="213" s="30" customFormat="true" ht="141.75" hidden="false" customHeight="false" outlineLevel="0" collapsed="false">
      <c r="A213" s="2"/>
      <c r="B213" s="2" t="s">
        <v>317</v>
      </c>
      <c r="C213" s="3" t="s">
        <v>317</v>
      </c>
      <c r="D213" s="3" t="n">
        <v>2019</v>
      </c>
      <c r="E213" s="20" t="s">
        <v>321</v>
      </c>
      <c r="F213" s="3" t="s">
        <v>51</v>
      </c>
      <c r="G213" s="3" t="s">
        <v>257</v>
      </c>
      <c r="H213" s="3" t="s">
        <v>47</v>
      </c>
      <c r="I213" s="3" t="s">
        <v>114</v>
      </c>
      <c r="J213" s="3" t="s">
        <v>258</v>
      </c>
      <c r="K213" s="3" t="s">
        <v>259</v>
      </c>
      <c r="L213" s="32" t="s">
        <v>108</v>
      </c>
      <c r="M213" s="3" t="s">
        <v>47</v>
      </c>
      <c r="N213" s="3" t="s">
        <v>82</v>
      </c>
      <c r="O213" s="3" t="s">
        <v>319</v>
      </c>
      <c r="P213" s="3" t="s">
        <v>89</v>
      </c>
      <c r="Q213" s="3" t="s">
        <v>56</v>
      </c>
      <c r="R213" s="3" t="s">
        <v>47</v>
      </c>
      <c r="S213" s="3" t="s">
        <v>53</v>
      </c>
      <c r="T213" s="3" t="s">
        <v>53</v>
      </c>
      <c r="U213" s="3" t="s">
        <v>53</v>
      </c>
      <c r="V213" s="4" t="s">
        <v>320</v>
      </c>
      <c r="W213" s="28" t="n">
        <f aca="false">'Industries data'!P50</f>
        <v>21.6986671013525</v>
      </c>
    </row>
    <row r="214" s="30" customFormat="true" ht="141.75" hidden="false" customHeight="false" outlineLevel="0" collapsed="false">
      <c r="A214" s="2"/>
      <c r="B214" s="2" t="s">
        <v>317</v>
      </c>
      <c r="C214" s="3" t="s">
        <v>317</v>
      </c>
      <c r="D214" s="3" t="n">
        <v>2018</v>
      </c>
      <c r="E214" s="20" t="s">
        <v>322</v>
      </c>
      <c r="F214" s="3" t="s">
        <v>51</v>
      </c>
      <c r="G214" s="3" t="s">
        <v>257</v>
      </c>
      <c r="H214" s="3" t="s">
        <v>47</v>
      </c>
      <c r="I214" s="3" t="s">
        <v>114</v>
      </c>
      <c r="J214" s="3" t="s">
        <v>258</v>
      </c>
      <c r="K214" s="3" t="s">
        <v>259</v>
      </c>
      <c r="L214" s="32" t="s">
        <v>108</v>
      </c>
      <c r="M214" s="3" t="s">
        <v>47</v>
      </c>
      <c r="N214" s="3" t="s">
        <v>82</v>
      </c>
      <c r="O214" s="3" t="s">
        <v>319</v>
      </c>
      <c r="P214" s="3" t="s">
        <v>89</v>
      </c>
      <c r="Q214" s="3" t="s">
        <v>56</v>
      </c>
      <c r="R214" s="3" t="s">
        <v>47</v>
      </c>
      <c r="S214" s="3" t="s">
        <v>53</v>
      </c>
      <c r="T214" s="3" t="s">
        <v>53</v>
      </c>
      <c r="U214" s="3" t="s">
        <v>53</v>
      </c>
      <c r="V214" s="4" t="s">
        <v>323</v>
      </c>
      <c r="W214" s="28" t="n">
        <f aca="false">'Industries data'!P51</f>
        <v>20.6124018554105</v>
      </c>
    </row>
    <row r="215" s="30" customFormat="true" ht="141.75" hidden="false" customHeight="false" outlineLevel="0" collapsed="false">
      <c r="A215" s="2"/>
      <c r="B215" s="2" t="s">
        <v>317</v>
      </c>
      <c r="C215" s="3" t="s">
        <v>317</v>
      </c>
      <c r="D215" s="3" t="n">
        <v>2017</v>
      </c>
      <c r="E215" s="20" t="s">
        <v>324</v>
      </c>
      <c r="F215" s="3" t="s">
        <v>51</v>
      </c>
      <c r="G215" s="3" t="s">
        <v>257</v>
      </c>
      <c r="H215" s="3" t="s">
        <v>47</v>
      </c>
      <c r="I215" s="3" t="s">
        <v>114</v>
      </c>
      <c r="J215" s="3" t="s">
        <v>258</v>
      </c>
      <c r="K215" s="3" t="s">
        <v>259</v>
      </c>
      <c r="L215" s="32" t="s">
        <v>108</v>
      </c>
      <c r="M215" s="3" t="s">
        <v>47</v>
      </c>
      <c r="N215" s="3" t="s">
        <v>82</v>
      </c>
      <c r="O215" s="3" t="s">
        <v>319</v>
      </c>
      <c r="P215" s="3" t="s">
        <v>89</v>
      </c>
      <c r="Q215" s="3" t="s">
        <v>56</v>
      </c>
      <c r="R215" s="3" t="s">
        <v>47</v>
      </c>
      <c r="S215" s="3" t="s">
        <v>53</v>
      </c>
      <c r="T215" s="3" t="s">
        <v>53</v>
      </c>
      <c r="U215" s="3" t="s">
        <v>53</v>
      </c>
      <c r="V215" s="4" t="s">
        <v>325</v>
      </c>
      <c r="W215" s="28" t="n">
        <f aca="false">'Industries data'!P52</f>
        <v>20.8822850262598</v>
      </c>
    </row>
    <row r="216" s="30" customFormat="true" ht="141.75" hidden="false" customHeight="false" outlineLevel="0" collapsed="false">
      <c r="A216" s="2"/>
      <c r="B216" s="2" t="s">
        <v>317</v>
      </c>
      <c r="C216" s="3" t="s">
        <v>317</v>
      </c>
      <c r="D216" s="3" t="n">
        <v>2016</v>
      </c>
      <c r="E216" s="20" t="s">
        <v>326</v>
      </c>
      <c r="F216" s="3" t="s">
        <v>51</v>
      </c>
      <c r="G216" s="3" t="s">
        <v>257</v>
      </c>
      <c r="H216" s="3" t="s">
        <v>47</v>
      </c>
      <c r="I216" s="3" t="s">
        <v>114</v>
      </c>
      <c r="J216" s="3" t="s">
        <v>258</v>
      </c>
      <c r="K216" s="3" t="s">
        <v>259</v>
      </c>
      <c r="L216" s="32" t="s">
        <v>108</v>
      </c>
      <c r="M216" s="3" t="s">
        <v>47</v>
      </c>
      <c r="N216" s="3" t="s">
        <v>82</v>
      </c>
      <c r="O216" s="3" t="s">
        <v>319</v>
      </c>
      <c r="P216" s="3" t="s">
        <v>89</v>
      </c>
      <c r="Q216" s="3" t="s">
        <v>56</v>
      </c>
      <c r="R216" s="3" t="s">
        <v>47</v>
      </c>
      <c r="S216" s="3" t="s">
        <v>53</v>
      </c>
      <c r="T216" s="3" t="s">
        <v>53</v>
      </c>
      <c r="U216" s="3" t="s">
        <v>53</v>
      </c>
      <c r="V216" s="4" t="s">
        <v>325</v>
      </c>
      <c r="W216" s="28" t="n">
        <f aca="false">'Industries data'!P53</f>
        <v>23.4467761698355</v>
      </c>
    </row>
    <row r="217" s="30" customFormat="true" ht="141.75" hidden="false" customHeight="false" outlineLevel="0" collapsed="false">
      <c r="A217" s="2"/>
      <c r="B217" s="2" t="s">
        <v>317</v>
      </c>
      <c r="C217" s="3" t="s">
        <v>317</v>
      </c>
      <c r="D217" s="3" t="n">
        <v>2015</v>
      </c>
      <c r="E217" s="20" t="s">
        <v>326</v>
      </c>
      <c r="F217" s="3" t="s">
        <v>51</v>
      </c>
      <c r="G217" s="3" t="s">
        <v>257</v>
      </c>
      <c r="H217" s="3" t="s">
        <v>47</v>
      </c>
      <c r="I217" s="3" t="s">
        <v>114</v>
      </c>
      <c r="J217" s="3" t="s">
        <v>258</v>
      </c>
      <c r="K217" s="3" t="s">
        <v>259</v>
      </c>
      <c r="L217" s="32" t="s">
        <v>108</v>
      </c>
      <c r="M217" s="3" t="s">
        <v>47</v>
      </c>
      <c r="N217" s="3" t="s">
        <v>82</v>
      </c>
      <c r="O217" s="3" t="s">
        <v>319</v>
      </c>
      <c r="P217" s="3" t="s">
        <v>89</v>
      </c>
      <c r="Q217" s="3" t="s">
        <v>56</v>
      </c>
      <c r="R217" s="3" t="s">
        <v>47</v>
      </c>
      <c r="S217" s="3" t="s">
        <v>53</v>
      </c>
      <c r="T217" s="3" t="s">
        <v>53</v>
      </c>
      <c r="U217" s="3" t="s">
        <v>53</v>
      </c>
      <c r="V217" s="4" t="s">
        <v>325</v>
      </c>
      <c r="W217" s="28" t="n">
        <f aca="false">'Industries data'!P54</f>
        <v>25.6449114357576</v>
      </c>
    </row>
    <row r="218" s="30" customFormat="true" ht="141.75" hidden="false" customHeight="false" outlineLevel="0" collapsed="false">
      <c r="A218" s="2"/>
      <c r="B218" s="2" t="s">
        <v>317</v>
      </c>
      <c r="C218" s="3" t="s">
        <v>317</v>
      </c>
      <c r="D218" s="3" t="n">
        <v>2014</v>
      </c>
      <c r="E218" s="20" t="s">
        <v>327</v>
      </c>
      <c r="F218" s="3" t="s">
        <v>51</v>
      </c>
      <c r="G218" s="3" t="s">
        <v>257</v>
      </c>
      <c r="H218" s="3" t="s">
        <v>47</v>
      </c>
      <c r="I218" s="3" t="s">
        <v>114</v>
      </c>
      <c r="J218" s="3" t="s">
        <v>258</v>
      </c>
      <c r="K218" s="3" t="s">
        <v>259</v>
      </c>
      <c r="L218" s="32" t="s">
        <v>108</v>
      </c>
      <c r="M218" s="3" t="s">
        <v>47</v>
      </c>
      <c r="N218" s="3" t="s">
        <v>82</v>
      </c>
      <c r="O218" s="3" t="s">
        <v>319</v>
      </c>
      <c r="P218" s="3" t="s">
        <v>89</v>
      </c>
      <c r="Q218" s="3" t="s">
        <v>56</v>
      </c>
      <c r="R218" s="3" t="s">
        <v>47</v>
      </c>
      <c r="S218" s="3" t="s">
        <v>53</v>
      </c>
      <c r="T218" s="3" t="s">
        <v>53</v>
      </c>
      <c r="U218" s="3" t="s">
        <v>53</v>
      </c>
      <c r="V218" s="4" t="s">
        <v>328</v>
      </c>
      <c r="W218" s="28" t="n">
        <f aca="false">'Industries data'!P55</f>
        <v>21.6149967815671</v>
      </c>
    </row>
    <row r="219" s="30" customFormat="true" ht="141.75" hidden="false" customHeight="false" outlineLevel="0" collapsed="false">
      <c r="A219" s="2"/>
      <c r="B219" s="2" t="s">
        <v>317</v>
      </c>
      <c r="C219" s="3" t="s">
        <v>317</v>
      </c>
      <c r="D219" s="3" t="n">
        <v>2013</v>
      </c>
      <c r="E219" s="20" t="s">
        <v>327</v>
      </c>
      <c r="F219" s="3" t="s">
        <v>51</v>
      </c>
      <c r="G219" s="3" t="s">
        <v>257</v>
      </c>
      <c r="H219" s="3" t="s">
        <v>47</v>
      </c>
      <c r="I219" s="3" t="s">
        <v>114</v>
      </c>
      <c r="J219" s="3" t="s">
        <v>258</v>
      </c>
      <c r="K219" s="3" t="s">
        <v>259</v>
      </c>
      <c r="L219" s="32" t="s">
        <v>108</v>
      </c>
      <c r="M219" s="3" t="s">
        <v>47</v>
      </c>
      <c r="N219" s="3" t="s">
        <v>82</v>
      </c>
      <c r="O219" s="3" t="s">
        <v>319</v>
      </c>
      <c r="P219" s="3" t="s">
        <v>89</v>
      </c>
      <c r="Q219" s="3" t="s">
        <v>56</v>
      </c>
      <c r="R219" s="3" t="s">
        <v>47</v>
      </c>
      <c r="S219" s="3" t="s">
        <v>53</v>
      </c>
      <c r="T219" s="3" t="s">
        <v>53</v>
      </c>
      <c r="U219" s="3" t="s">
        <v>53</v>
      </c>
      <c r="V219" s="4" t="s">
        <v>328</v>
      </c>
      <c r="W219" s="28" t="n">
        <f aca="false">'Industries data'!P56</f>
        <v>17.9514380050303</v>
      </c>
    </row>
    <row r="220" s="30" customFormat="true" ht="141.75" hidden="false" customHeight="false" outlineLevel="0" collapsed="false">
      <c r="A220" s="2"/>
      <c r="B220" s="2" t="s">
        <v>317</v>
      </c>
      <c r="C220" s="3" t="s">
        <v>317</v>
      </c>
      <c r="D220" s="3" t="n">
        <v>2012</v>
      </c>
      <c r="E220" s="20" t="s">
        <v>329</v>
      </c>
      <c r="F220" s="3" t="s">
        <v>51</v>
      </c>
      <c r="G220" s="3" t="s">
        <v>257</v>
      </c>
      <c r="H220" s="3" t="s">
        <v>47</v>
      </c>
      <c r="I220" s="3" t="s">
        <v>114</v>
      </c>
      <c r="J220" s="3" t="s">
        <v>258</v>
      </c>
      <c r="K220" s="3" t="s">
        <v>259</v>
      </c>
      <c r="L220" s="32" t="s">
        <v>108</v>
      </c>
      <c r="M220" s="3" t="s">
        <v>47</v>
      </c>
      <c r="N220" s="3" t="s">
        <v>82</v>
      </c>
      <c r="O220" s="3" t="s">
        <v>319</v>
      </c>
      <c r="P220" s="3" t="s">
        <v>89</v>
      </c>
      <c r="Q220" s="3" t="s">
        <v>56</v>
      </c>
      <c r="R220" s="3" t="s">
        <v>47</v>
      </c>
      <c r="S220" s="3" t="s">
        <v>53</v>
      </c>
      <c r="T220" s="3" t="s">
        <v>53</v>
      </c>
      <c r="U220" s="3" t="s">
        <v>53</v>
      </c>
      <c r="V220" s="4" t="s">
        <v>330</v>
      </c>
      <c r="W220" s="28" t="n">
        <f aca="false">'Industries data'!P57</f>
        <v>17.5850821273766</v>
      </c>
    </row>
    <row r="221" s="30" customFormat="true" ht="141.75" hidden="false" customHeight="false" outlineLevel="0" collapsed="false">
      <c r="A221" s="2"/>
      <c r="B221" s="2" t="s">
        <v>317</v>
      </c>
      <c r="C221" s="3" t="s">
        <v>317</v>
      </c>
      <c r="D221" s="3" t="n">
        <v>2011</v>
      </c>
      <c r="E221" s="20" t="s">
        <v>329</v>
      </c>
      <c r="F221" s="3" t="s">
        <v>51</v>
      </c>
      <c r="G221" s="3" t="s">
        <v>257</v>
      </c>
      <c r="H221" s="3" t="s">
        <v>47</v>
      </c>
      <c r="I221" s="3" t="s">
        <v>114</v>
      </c>
      <c r="J221" s="3" t="s">
        <v>258</v>
      </c>
      <c r="K221" s="3" t="s">
        <v>259</v>
      </c>
      <c r="L221" s="32" t="s">
        <v>108</v>
      </c>
      <c r="M221" s="3" t="s">
        <v>47</v>
      </c>
      <c r="N221" s="3" t="s">
        <v>82</v>
      </c>
      <c r="O221" s="3" t="s">
        <v>319</v>
      </c>
      <c r="P221" s="3" t="s">
        <v>89</v>
      </c>
      <c r="Q221" s="3" t="s">
        <v>56</v>
      </c>
      <c r="R221" s="3" t="s">
        <v>47</v>
      </c>
      <c r="S221" s="3" t="s">
        <v>53</v>
      </c>
      <c r="T221" s="3" t="s">
        <v>53</v>
      </c>
      <c r="U221" s="3" t="s">
        <v>53</v>
      </c>
      <c r="V221" s="4" t="s">
        <v>328</v>
      </c>
      <c r="W221" s="28" t="n">
        <f aca="false">'Industries data'!P58</f>
        <v>16.1196586167619</v>
      </c>
    </row>
    <row r="222" s="51" customFormat="true" ht="15.75" hidden="false" customHeight="false" outlineLevel="0" collapsed="false">
      <c r="A222" s="73"/>
      <c r="B222" s="73"/>
      <c r="C222" s="74"/>
      <c r="D222" s="74"/>
      <c r="E222" s="74"/>
      <c r="F222" s="74"/>
      <c r="G222" s="74"/>
      <c r="H222" s="74"/>
      <c r="I222" s="74"/>
      <c r="J222" s="74"/>
      <c r="K222" s="74"/>
      <c r="L222" s="74"/>
      <c r="M222" s="74"/>
      <c r="N222" s="74"/>
      <c r="O222" s="74"/>
      <c r="P222" s="74"/>
      <c r="Q222" s="74"/>
      <c r="R222" s="74"/>
      <c r="S222" s="74"/>
      <c r="T222" s="74"/>
      <c r="U222" s="74"/>
      <c r="V222" s="73"/>
      <c r="W222" s="75"/>
      <c r="X222" s="73"/>
      <c r="Y222" s="73"/>
      <c r="Z222" s="73"/>
      <c r="AA222" s="73"/>
      <c r="AB222" s="73"/>
      <c r="AC222" s="73"/>
      <c r="AD222" s="73"/>
      <c r="AE222" s="50"/>
      <c r="AF222" s="50"/>
      <c r="AG222" s="50"/>
    </row>
    <row r="223" s="30" customFormat="true" ht="78.75" hidden="false" customHeight="false" outlineLevel="0" collapsed="false">
      <c r="A223" s="2"/>
      <c r="B223" s="2" t="s">
        <v>331</v>
      </c>
      <c r="C223" s="3" t="s">
        <v>332</v>
      </c>
      <c r="D223" s="32" t="n">
        <v>2013</v>
      </c>
      <c r="E223" s="20" t="s">
        <v>333</v>
      </c>
      <c r="F223" s="3" t="s">
        <v>57</v>
      </c>
      <c r="G223" s="32" t="s">
        <v>75</v>
      </c>
      <c r="H223" s="32" t="s">
        <v>47</v>
      </c>
      <c r="I223" s="32" t="s">
        <v>114</v>
      </c>
      <c r="J223" s="32" t="s">
        <v>75</v>
      </c>
      <c r="K223" s="32" t="n">
        <v>300</v>
      </c>
      <c r="L223" s="32" t="s">
        <v>114</v>
      </c>
      <c r="M223" s="32" t="s">
        <v>78</v>
      </c>
      <c r="N223" s="32" t="s">
        <v>75</v>
      </c>
      <c r="O223" s="32" t="s">
        <v>75</v>
      </c>
      <c r="P223" s="32" t="s">
        <v>89</v>
      </c>
      <c r="Q223" s="32" t="s">
        <v>75</v>
      </c>
      <c r="R223" s="55" t="s">
        <v>75</v>
      </c>
      <c r="S223" s="55" t="s">
        <v>53</v>
      </c>
      <c r="T223" s="32" t="s">
        <v>53</v>
      </c>
      <c r="U223" s="32" t="s">
        <v>47</v>
      </c>
      <c r="V223" s="4" t="s">
        <v>452</v>
      </c>
      <c r="W223" s="28" t="n">
        <f aca="false">'ITRS data'!T21</f>
        <v>9</v>
      </c>
      <c r="X223" s="2"/>
      <c r="Y223" s="2"/>
      <c r="Z223" s="2"/>
      <c r="AA223" s="2"/>
      <c r="AB223" s="2"/>
      <c r="AC223" s="2"/>
      <c r="AD223" s="2"/>
      <c r="AE223" s="2"/>
      <c r="AF223" s="2"/>
      <c r="AG223" s="2"/>
    </row>
    <row r="224" s="30" customFormat="true" ht="78.75" hidden="false" customHeight="false" outlineLevel="0" collapsed="false">
      <c r="A224" s="2"/>
      <c r="B224" s="2" t="s">
        <v>331</v>
      </c>
      <c r="C224" s="3" t="s">
        <v>332</v>
      </c>
      <c r="D224" s="32" t="n">
        <v>2014</v>
      </c>
      <c r="E224" s="20" t="s">
        <v>333</v>
      </c>
      <c r="F224" s="3" t="s">
        <v>57</v>
      </c>
      <c r="G224" s="32" t="s">
        <v>75</v>
      </c>
      <c r="H224" s="32" t="s">
        <v>47</v>
      </c>
      <c r="I224" s="32" t="s">
        <v>114</v>
      </c>
      <c r="J224" s="32" t="s">
        <v>75</v>
      </c>
      <c r="K224" s="32" t="n">
        <v>300</v>
      </c>
      <c r="L224" s="32" t="s">
        <v>114</v>
      </c>
      <c r="M224" s="32" t="s">
        <v>78</v>
      </c>
      <c r="N224" s="32" t="s">
        <v>75</v>
      </c>
      <c r="O224" s="32" t="s">
        <v>75</v>
      </c>
      <c r="P224" s="32" t="s">
        <v>89</v>
      </c>
      <c r="Q224" s="32" t="s">
        <v>75</v>
      </c>
      <c r="R224" s="55" t="s">
        <v>75</v>
      </c>
      <c r="S224" s="55" t="s">
        <v>53</v>
      </c>
      <c r="T224" s="32" t="s">
        <v>53</v>
      </c>
      <c r="U224" s="32" t="s">
        <v>47</v>
      </c>
      <c r="V224" s="4" t="s">
        <v>452</v>
      </c>
      <c r="W224" s="28" t="n">
        <f aca="false">'ITRS data'!T22</f>
        <v>9</v>
      </c>
      <c r="X224" s="2"/>
      <c r="Y224" s="2"/>
      <c r="Z224" s="2"/>
      <c r="AA224" s="2"/>
      <c r="AB224" s="2"/>
      <c r="AC224" s="2"/>
      <c r="AD224" s="2"/>
      <c r="AE224" s="2"/>
      <c r="AF224" s="2"/>
      <c r="AG224" s="2"/>
    </row>
    <row r="225" s="30" customFormat="true" ht="78.75" hidden="false" customHeight="false" outlineLevel="0" collapsed="false">
      <c r="A225" s="2"/>
      <c r="B225" s="2" t="s">
        <v>331</v>
      </c>
      <c r="C225" s="3" t="s">
        <v>332</v>
      </c>
      <c r="D225" s="32" t="n">
        <v>2015</v>
      </c>
      <c r="E225" s="20" t="s">
        <v>333</v>
      </c>
      <c r="F225" s="3" t="s">
        <v>57</v>
      </c>
      <c r="G225" s="32" t="s">
        <v>75</v>
      </c>
      <c r="H225" s="32" t="s">
        <v>47</v>
      </c>
      <c r="I225" s="32" t="s">
        <v>114</v>
      </c>
      <c r="J225" s="32" t="s">
        <v>75</v>
      </c>
      <c r="K225" s="32" t="n">
        <v>300</v>
      </c>
      <c r="L225" s="32" t="s">
        <v>114</v>
      </c>
      <c r="M225" s="32" t="s">
        <v>78</v>
      </c>
      <c r="N225" s="32" t="s">
        <v>75</v>
      </c>
      <c r="O225" s="32" t="s">
        <v>75</v>
      </c>
      <c r="P225" s="32" t="s">
        <v>89</v>
      </c>
      <c r="Q225" s="32" t="s">
        <v>75</v>
      </c>
      <c r="R225" s="55" t="s">
        <v>75</v>
      </c>
      <c r="S225" s="55" t="s">
        <v>53</v>
      </c>
      <c r="T225" s="32" t="s">
        <v>53</v>
      </c>
      <c r="U225" s="32" t="s">
        <v>47</v>
      </c>
      <c r="V225" s="4" t="s">
        <v>452</v>
      </c>
      <c r="W225" s="28" t="n">
        <f aca="false">'ITRS data'!T23</f>
        <v>9</v>
      </c>
      <c r="X225" s="2"/>
      <c r="Y225" s="2"/>
      <c r="Z225" s="2"/>
      <c r="AA225" s="2"/>
      <c r="AB225" s="2"/>
      <c r="AC225" s="2"/>
      <c r="AD225" s="2"/>
      <c r="AE225" s="2"/>
      <c r="AF225" s="2"/>
      <c r="AG225" s="2"/>
    </row>
    <row r="226" s="30" customFormat="true" ht="78.75" hidden="false" customHeight="false" outlineLevel="0" collapsed="false">
      <c r="A226" s="2"/>
      <c r="B226" s="2" t="s">
        <v>331</v>
      </c>
      <c r="C226" s="3" t="s">
        <v>332</v>
      </c>
      <c r="D226" s="32" t="n">
        <v>2016</v>
      </c>
      <c r="E226" s="20" t="s">
        <v>333</v>
      </c>
      <c r="F226" s="3" t="s">
        <v>57</v>
      </c>
      <c r="G226" s="32" t="s">
        <v>75</v>
      </c>
      <c r="H226" s="32" t="s">
        <v>47</v>
      </c>
      <c r="I226" s="32" t="s">
        <v>114</v>
      </c>
      <c r="J226" s="32" t="s">
        <v>75</v>
      </c>
      <c r="K226" s="32" t="n">
        <v>300</v>
      </c>
      <c r="L226" s="32" t="s">
        <v>114</v>
      </c>
      <c r="M226" s="32" t="s">
        <v>78</v>
      </c>
      <c r="N226" s="32" t="s">
        <v>75</v>
      </c>
      <c r="O226" s="32" t="s">
        <v>75</v>
      </c>
      <c r="P226" s="32" t="s">
        <v>89</v>
      </c>
      <c r="Q226" s="32" t="s">
        <v>75</v>
      </c>
      <c r="R226" s="55" t="s">
        <v>75</v>
      </c>
      <c r="S226" s="55" t="s">
        <v>53</v>
      </c>
      <c r="T226" s="32" t="s">
        <v>53</v>
      </c>
      <c r="U226" s="32" t="s">
        <v>47</v>
      </c>
      <c r="V226" s="4" t="s">
        <v>452</v>
      </c>
      <c r="W226" s="28" t="n">
        <f aca="false">'ITRS data'!T24</f>
        <v>8.1</v>
      </c>
      <c r="X226" s="2"/>
      <c r="Y226" s="2"/>
      <c r="Z226" s="2"/>
      <c r="AA226" s="2"/>
      <c r="AB226" s="2"/>
      <c r="AC226" s="2"/>
      <c r="AD226" s="2"/>
      <c r="AE226" s="2"/>
      <c r="AF226" s="2"/>
      <c r="AG226" s="2"/>
    </row>
    <row r="227" s="30" customFormat="true" ht="78.75" hidden="false" customHeight="false" outlineLevel="0" collapsed="false">
      <c r="A227" s="2"/>
      <c r="B227" s="2" t="s">
        <v>331</v>
      </c>
      <c r="C227" s="3" t="s">
        <v>332</v>
      </c>
      <c r="D227" s="32" t="n">
        <v>2017</v>
      </c>
      <c r="E227" s="20" t="s">
        <v>333</v>
      </c>
      <c r="F227" s="3" t="s">
        <v>57</v>
      </c>
      <c r="G227" s="32" t="s">
        <v>75</v>
      </c>
      <c r="H227" s="32" t="s">
        <v>47</v>
      </c>
      <c r="I227" s="32" t="s">
        <v>114</v>
      </c>
      <c r="J227" s="32" t="s">
        <v>75</v>
      </c>
      <c r="K227" s="32" t="n">
        <v>300</v>
      </c>
      <c r="L227" s="32" t="s">
        <v>114</v>
      </c>
      <c r="M227" s="32" t="s">
        <v>78</v>
      </c>
      <c r="N227" s="32" t="s">
        <v>75</v>
      </c>
      <c r="O227" s="32" t="s">
        <v>75</v>
      </c>
      <c r="P227" s="32" t="s">
        <v>89</v>
      </c>
      <c r="Q227" s="32" t="s">
        <v>75</v>
      </c>
      <c r="R227" s="55" t="s">
        <v>75</v>
      </c>
      <c r="S227" s="55" t="s">
        <v>53</v>
      </c>
      <c r="T227" s="32" t="s">
        <v>53</v>
      </c>
      <c r="U227" s="32" t="s">
        <v>47</v>
      </c>
      <c r="V227" s="4" t="s">
        <v>452</v>
      </c>
      <c r="W227" s="28" t="n">
        <f aca="false">'ITRS data'!T25</f>
        <v>8.1</v>
      </c>
      <c r="X227" s="2"/>
      <c r="Y227" s="2"/>
      <c r="Z227" s="2"/>
      <c r="AA227" s="2"/>
      <c r="AB227" s="2"/>
      <c r="AC227" s="2"/>
      <c r="AD227" s="2"/>
      <c r="AE227" s="2"/>
      <c r="AF227" s="2"/>
      <c r="AG227" s="2"/>
    </row>
    <row r="228" s="30" customFormat="true" ht="78.75" hidden="false" customHeight="false" outlineLevel="0" collapsed="false">
      <c r="A228" s="2"/>
      <c r="B228" s="2" t="s">
        <v>331</v>
      </c>
      <c r="C228" s="3" t="s">
        <v>332</v>
      </c>
      <c r="D228" s="32" t="n">
        <v>2018</v>
      </c>
      <c r="E228" s="20" t="s">
        <v>333</v>
      </c>
      <c r="F228" s="3" t="s">
        <v>57</v>
      </c>
      <c r="G228" s="32" t="s">
        <v>75</v>
      </c>
      <c r="H228" s="32" t="s">
        <v>47</v>
      </c>
      <c r="I228" s="32" t="s">
        <v>114</v>
      </c>
      <c r="J228" s="32" t="s">
        <v>75</v>
      </c>
      <c r="K228" s="32" t="n">
        <v>300</v>
      </c>
      <c r="L228" s="32" t="s">
        <v>114</v>
      </c>
      <c r="M228" s="32" t="s">
        <v>78</v>
      </c>
      <c r="N228" s="32" t="s">
        <v>75</v>
      </c>
      <c r="O228" s="32" t="s">
        <v>75</v>
      </c>
      <c r="P228" s="32" t="s">
        <v>89</v>
      </c>
      <c r="Q228" s="32" t="s">
        <v>75</v>
      </c>
      <c r="R228" s="55" t="s">
        <v>75</v>
      </c>
      <c r="S228" s="55" t="s">
        <v>53</v>
      </c>
      <c r="T228" s="32" t="s">
        <v>53</v>
      </c>
      <c r="U228" s="32" t="s">
        <v>47</v>
      </c>
      <c r="V228" s="4" t="s">
        <v>452</v>
      </c>
      <c r="W228" s="28" t="n">
        <f aca="false">'ITRS data'!T26</f>
        <v>8.1</v>
      </c>
      <c r="X228" s="2"/>
      <c r="Y228" s="2"/>
      <c r="Z228" s="2"/>
      <c r="AA228" s="2"/>
      <c r="AB228" s="2"/>
      <c r="AC228" s="2"/>
      <c r="AD228" s="2"/>
      <c r="AE228" s="2"/>
      <c r="AF228" s="2"/>
      <c r="AG228" s="2"/>
    </row>
    <row r="229" s="30" customFormat="true" ht="78.75" hidden="false" customHeight="false" outlineLevel="0" collapsed="false">
      <c r="A229" s="2"/>
      <c r="B229" s="2" t="s">
        <v>331</v>
      </c>
      <c r="C229" s="3" t="s">
        <v>332</v>
      </c>
      <c r="D229" s="32" t="n">
        <v>2019</v>
      </c>
      <c r="E229" s="20" t="s">
        <v>333</v>
      </c>
      <c r="F229" s="3" t="s">
        <v>57</v>
      </c>
      <c r="G229" s="32" t="s">
        <v>75</v>
      </c>
      <c r="H229" s="32" t="s">
        <v>47</v>
      </c>
      <c r="I229" s="32" t="s">
        <v>114</v>
      </c>
      <c r="J229" s="32" t="s">
        <v>75</v>
      </c>
      <c r="K229" s="32" t="n">
        <v>300</v>
      </c>
      <c r="L229" s="32" t="s">
        <v>114</v>
      </c>
      <c r="M229" s="32" t="s">
        <v>78</v>
      </c>
      <c r="N229" s="32" t="s">
        <v>75</v>
      </c>
      <c r="O229" s="32" t="s">
        <v>75</v>
      </c>
      <c r="P229" s="32" t="s">
        <v>89</v>
      </c>
      <c r="Q229" s="32" t="s">
        <v>75</v>
      </c>
      <c r="R229" s="55" t="s">
        <v>75</v>
      </c>
      <c r="S229" s="55" t="s">
        <v>53</v>
      </c>
      <c r="T229" s="32" t="s">
        <v>53</v>
      </c>
      <c r="U229" s="32" t="s">
        <v>47</v>
      </c>
      <c r="V229" s="4" t="s">
        <v>452</v>
      </c>
      <c r="W229" s="28" t="n">
        <f aca="false">'ITRS data'!T27</f>
        <v>7.2</v>
      </c>
      <c r="X229" s="2"/>
      <c r="Y229" s="2"/>
      <c r="Z229" s="2"/>
      <c r="AA229" s="2"/>
      <c r="AB229" s="2"/>
      <c r="AC229" s="2"/>
      <c r="AD229" s="2"/>
      <c r="AE229" s="2"/>
      <c r="AF229" s="2"/>
      <c r="AG229" s="2"/>
    </row>
    <row r="230" s="30" customFormat="true" ht="78.75" hidden="false" customHeight="false" outlineLevel="0" collapsed="false">
      <c r="A230" s="2"/>
      <c r="B230" s="2" t="s">
        <v>331</v>
      </c>
      <c r="C230" s="3" t="s">
        <v>332</v>
      </c>
      <c r="D230" s="32" t="n">
        <v>2020</v>
      </c>
      <c r="E230" s="20" t="s">
        <v>333</v>
      </c>
      <c r="F230" s="3" t="s">
        <v>57</v>
      </c>
      <c r="G230" s="32" t="s">
        <v>75</v>
      </c>
      <c r="H230" s="32" t="s">
        <v>47</v>
      </c>
      <c r="I230" s="32" t="s">
        <v>114</v>
      </c>
      <c r="J230" s="32" t="s">
        <v>75</v>
      </c>
      <c r="K230" s="32" t="n">
        <v>300</v>
      </c>
      <c r="L230" s="32" t="s">
        <v>114</v>
      </c>
      <c r="M230" s="32" t="s">
        <v>78</v>
      </c>
      <c r="N230" s="32" t="s">
        <v>75</v>
      </c>
      <c r="O230" s="32" t="s">
        <v>75</v>
      </c>
      <c r="P230" s="32" t="s">
        <v>89</v>
      </c>
      <c r="Q230" s="32" t="s">
        <v>75</v>
      </c>
      <c r="R230" s="55" t="s">
        <v>75</v>
      </c>
      <c r="S230" s="55" t="s">
        <v>53</v>
      </c>
      <c r="T230" s="32" t="s">
        <v>53</v>
      </c>
      <c r="U230" s="32" t="s">
        <v>47</v>
      </c>
      <c r="V230" s="4" t="s">
        <v>452</v>
      </c>
      <c r="W230" s="28" t="n">
        <f aca="false">'ITRS data'!T28</f>
        <v>7.2</v>
      </c>
      <c r="X230" s="2"/>
      <c r="Y230" s="2"/>
      <c r="Z230" s="2"/>
      <c r="AA230" s="2"/>
      <c r="AB230" s="2"/>
      <c r="AC230" s="2"/>
      <c r="AD230" s="2"/>
      <c r="AE230" s="2"/>
      <c r="AF230" s="2"/>
      <c r="AG230" s="2"/>
    </row>
    <row r="231" s="30" customFormat="true" ht="78.75" hidden="false" customHeight="false" outlineLevel="0" collapsed="false">
      <c r="A231" s="2"/>
      <c r="B231" s="2" t="s">
        <v>331</v>
      </c>
      <c r="C231" s="3" t="s">
        <v>332</v>
      </c>
      <c r="D231" s="32" t="n">
        <v>2015</v>
      </c>
      <c r="E231" s="20" t="s">
        <v>333</v>
      </c>
      <c r="F231" s="3" t="s">
        <v>57</v>
      </c>
      <c r="G231" s="32" t="s">
        <v>75</v>
      </c>
      <c r="H231" s="32" t="s">
        <v>47</v>
      </c>
      <c r="I231" s="32" t="s">
        <v>114</v>
      </c>
      <c r="J231" s="32" t="s">
        <v>75</v>
      </c>
      <c r="K231" s="32" t="n">
        <v>300</v>
      </c>
      <c r="L231" s="32" t="s">
        <v>114</v>
      </c>
      <c r="M231" s="32" t="s">
        <v>78</v>
      </c>
      <c r="N231" s="32" t="s">
        <v>75</v>
      </c>
      <c r="O231" s="32" t="s">
        <v>75</v>
      </c>
      <c r="P231" s="32" t="s">
        <v>89</v>
      </c>
      <c r="Q231" s="32" t="s">
        <v>75</v>
      </c>
      <c r="R231" s="55" t="s">
        <v>75</v>
      </c>
      <c r="S231" s="55" t="s">
        <v>53</v>
      </c>
      <c r="T231" s="32" t="s">
        <v>53</v>
      </c>
      <c r="U231" s="32" t="s">
        <v>47</v>
      </c>
      <c r="V231" s="4" t="s">
        <v>453</v>
      </c>
      <c r="W231" s="28" t="n">
        <f aca="false">'ITRS data'!U23</f>
        <v>10.8</v>
      </c>
      <c r="X231" s="2"/>
      <c r="Y231" s="2"/>
      <c r="Z231" s="2"/>
      <c r="AA231" s="2"/>
      <c r="AB231" s="2"/>
      <c r="AC231" s="2"/>
      <c r="AD231" s="2"/>
      <c r="AE231" s="2"/>
      <c r="AF231" s="2"/>
      <c r="AG231" s="2"/>
    </row>
    <row r="232" s="30" customFormat="true" ht="78.75" hidden="false" customHeight="false" outlineLevel="0" collapsed="false">
      <c r="A232" s="2"/>
      <c r="B232" s="2" t="s">
        <v>331</v>
      </c>
      <c r="C232" s="3" t="s">
        <v>332</v>
      </c>
      <c r="D232" s="32" t="n">
        <v>2016</v>
      </c>
      <c r="E232" s="20" t="s">
        <v>333</v>
      </c>
      <c r="F232" s="3" t="s">
        <v>57</v>
      </c>
      <c r="G232" s="32" t="s">
        <v>75</v>
      </c>
      <c r="H232" s="32" t="s">
        <v>47</v>
      </c>
      <c r="I232" s="32" t="s">
        <v>114</v>
      </c>
      <c r="J232" s="32" t="s">
        <v>75</v>
      </c>
      <c r="K232" s="32" t="n">
        <v>300</v>
      </c>
      <c r="L232" s="32" t="s">
        <v>114</v>
      </c>
      <c r="M232" s="32" t="s">
        <v>78</v>
      </c>
      <c r="N232" s="32" t="s">
        <v>75</v>
      </c>
      <c r="O232" s="32" t="s">
        <v>75</v>
      </c>
      <c r="P232" s="32" t="s">
        <v>89</v>
      </c>
      <c r="Q232" s="32" t="s">
        <v>75</v>
      </c>
      <c r="R232" s="55" t="s">
        <v>75</v>
      </c>
      <c r="S232" s="55" t="s">
        <v>53</v>
      </c>
      <c r="T232" s="32" t="s">
        <v>53</v>
      </c>
      <c r="U232" s="32" t="s">
        <v>47</v>
      </c>
      <c r="V232" s="4" t="s">
        <v>453</v>
      </c>
      <c r="W232" s="28" t="n">
        <f aca="false">'ITRS data'!U24</f>
        <v>10.8</v>
      </c>
      <c r="X232" s="2"/>
      <c r="Y232" s="2"/>
      <c r="Z232" s="2"/>
      <c r="AA232" s="2"/>
      <c r="AB232" s="2"/>
      <c r="AC232" s="2"/>
      <c r="AD232" s="2"/>
      <c r="AE232" s="2"/>
      <c r="AF232" s="2"/>
      <c r="AG232" s="2"/>
    </row>
    <row r="233" s="30" customFormat="true" ht="78.75" hidden="false" customHeight="false" outlineLevel="0" collapsed="false">
      <c r="A233" s="2"/>
      <c r="B233" s="2" t="s">
        <v>331</v>
      </c>
      <c r="C233" s="3" t="s">
        <v>332</v>
      </c>
      <c r="D233" s="32" t="n">
        <v>2017</v>
      </c>
      <c r="E233" s="20" t="s">
        <v>333</v>
      </c>
      <c r="F233" s="3" t="s">
        <v>57</v>
      </c>
      <c r="G233" s="32" t="s">
        <v>75</v>
      </c>
      <c r="H233" s="32" t="s">
        <v>47</v>
      </c>
      <c r="I233" s="32" t="s">
        <v>114</v>
      </c>
      <c r="J233" s="32" t="s">
        <v>75</v>
      </c>
      <c r="K233" s="32" t="n">
        <v>300</v>
      </c>
      <c r="L233" s="32" t="s">
        <v>114</v>
      </c>
      <c r="M233" s="32" t="s">
        <v>78</v>
      </c>
      <c r="N233" s="32" t="s">
        <v>75</v>
      </c>
      <c r="O233" s="32" t="s">
        <v>75</v>
      </c>
      <c r="P233" s="32" t="s">
        <v>89</v>
      </c>
      <c r="Q233" s="32" t="s">
        <v>75</v>
      </c>
      <c r="R233" s="55" t="s">
        <v>75</v>
      </c>
      <c r="S233" s="55" t="s">
        <v>53</v>
      </c>
      <c r="T233" s="32" t="s">
        <v>53</v>
      </c>
      <c r="U233" s="32" t="s">
        <v>47</v>
      </c>
      <c r="V233" s="4" t="s">
        <v>453</v>
      </c>
      <c r="W233" s="28" t="n">
        <f aca="false">'ITRS data'!U25</f>
        <v>10.8</v>
      </c>
      <c r="X233" s="2"/>
      <c r="Y233" s="2"/>
      <c r="Z233" s="2"/>
      <c r="AA233" s="2"/>
      <c r="AB233" s="2"/>
      <c r="AC233" s="2"/>
      <c r="AD233" s="2"/>
      <c r="AE233" s="2"/>
      <c r="AF233" s="2"/>
      <c r="AG233" s="2"/>
    </row>
    <row r="234" s="30" customFormat="true" ht="78.75" hidden="false" customHeight="false" outlineLevel="0" collapsed="false">
      <c r="A234" s="2"/>
      <c r="B234" s="2" t="s">
        <v>331</v>
      </c>
      <c r="C234" s="3" t="s">
        <v>332</v>
      </c>
      <c r="D234" s="32" t="n">
        <v>2018</v>
      </c>
      <c r="E234" s="20" t="s">
        <v>333</v>
      </c>
      <c r="F234" s="3" t="s">
        <v>57</v>
      </c>
      <c r="G234" s="32" t="s">
        <v>75</v>
      </c>
      <c r="H234" s="32" t="s">
        <v>47</v>
      </c>
      <c r="I234" s="32" t="s">
        <v>114</v>
      </c>
      <c r="J234" s="32" t="s">
        <v>75</v>
      </c>
      <c r="K234" s="32" t="n">
        <v>300</v>
      </c>
      <c r="L234" s="32" t="s">
        <v>114</v>
      </c>
      <c r="M234" s="32" t="s">
        <v>78</v>
      </c>
      <c r="N234" s="32" t="s">
        <v>75</v>
      </c>
      <c r="O234" s="32" t="s">
        <v>75</v>
      </c>
      <c r="P234" s="32" t="s">
        <v>89</v>
      </c>
      <c r="Q234" s="32" t="s">
        <v>75</v>
      </c>
      <c r="R234" s="55" t="s">
        <v>75</v>
      </c>
      <c r="S234" s="55" t="s">
        <v>53</v>
      </c>
      <c r="T234" s="32" t="s">
        <v>53</v>
      </c>
      <c r="U234" s="32" t="s">
        <v>47</v>
      </c>
      <c r="V234" s="4" t="s">
        <v>453</v>
      </c>
      <c r="W234" s="28" t="n">
        <f aca="false">'ITRS data'!U26</f>
        <v>10.8</v>
      </c>
      <c r="X234" s="2"/>
      <c r="Y234" s="2"/>
      <c r="Z234" s="2"/>
      <c r="AA234" s="2"/>
      <c r="AB234" s="2"/>
      <c r="AC234" s="2"/>
      <c r="AD234" s="2"/>
      <c r="AE234" s="2"/>
      <c r="AF234" s="2"/>
      <c r="AG234" s="2"/>
    </row>
    <row r="235" s="30" customFormat="true" ht="78.75" hidden="false" customHeight="false" outlineLevel="0" collapsed="false">
      <c r="A235" s="2"/>
      <c r="B235" s="2" t="s">
        <v>331</v>
      </c>
      <c r="C235" s="3" t="s">
        <v>332</v>
      </c>
      <c r="D235" s="32" t="n">
        <v>2019</v>
      </c>
      <c r="E235" s="20" t="s">
        <v>333</v>
      </c>
      <c r="F235" s="3" t="s">
        <v>57</v>
      </c>
      <c r="G235" s="32" t="s">
        <v>75</v>
      </c>
      <c r="H235" s="32" t="s">
        <v>47</v>
      </c>
      <c r="I235" s="32" t="s">
        <v>114</v>
      </c>
      <c r="J235" s="32" t="s">
        <v>75</v>
      </c>
      <c r="K235" s="32" t="n">
        <v>300</v>
      </c>
      <c r="L235" s="32" t="s">
        <v>114</v>
      </c>
      <c r="M235" s="32" t="s">
        <v>78</v>
      </c>
      <c r="N235" s="32" t="s">
        <v>75</v>
      </c>
      <c r="O235" s="32" t="s">
        <v>75</v>
      </c>
      <c r="P235" s="32" t="s">
        <v>89</v>
      </c>
      <c r="Q235" s="32" t="s">
        <v>75</v>
      </c>
      <c r="R235" s="55" t="s">
        <v>75</v>
      </c>
      <c r="S235" s="55" t="s">
        <v>53</v>
      </c>
      <c r="T235" s="32" t="s">
        <v>53</v>
      </c>
      <c r="U235" s="32" t="s">
        <v>47</v>
      </c>
      <c r="V235" s="4" t="s">
        <v>453</v>
      </c>
      <c r="W235" s="28" t="n">
        <f aca="false">'ITRS data'!U27</f>
        <v>10.8</v>
      </c>
      <c r="X235" s="2"/>
      <c r="Y235" s="2"/>
      <c r="Z235" s="2"/>
      <c r="AA235" s="2"/>
      <c r="AB235" s="2"/>
      <c r="AC235" s="2"/>
      <c r="AD235" s="2"/>
      <c r="AE235" s="2"/>
      <c r="AF235" s="2"/>
      <c r="AG235" s="2"/>
    </row>
    <row r="236" s="30" customFormat="true" ht="78.75" hidden="false" customHeight="false" outlineLevel="0" collapsed="false">
      <c r="A236" s="2"/>
      <c r="B236" s="2" t="s">
        <v>331</v>
      </c>
      <c r="C236" s="3" t="s">
        <v>332</v>
      </c>
      <c r="D236" s="32" t="n">
        <v>2020</v>
      </c>
      <c r="E236" s="20" t="s">
        <v>333</v>
      </c>
      <c r="F236" s="3" t="s">
        <v>57</v>
      </c>
      <c r="G236" s="32" t="s">
        <v>75</v>
      </c>
      <c r="H236" s="32" t="s">
        <v>47</v>
      </c>
      <c r="I236" s="32" t="s">
        <v>114</v>
      </c>
      <c r="J236" s="32" t="s">
        <v>75</v>
      </c>
      <c r="K236" s="32" t="n">
        <v>300</v>
      </c>
      <c r="L236" s="32" t="s">
        <v>114</v>
      </c>
      <c r="M236" s="32" t="s">
        <v>78</v>
      </c>
      <c r="N236" s="32" t="s">
        <v>75</v>
      </c>
      <c r="O236" s="32" t="s">
        <v>75</v>
      </c>
      <c r="P236" s="32" t="s">
        <v>89</v>
      </c>
      <c r="Q236" s="32" t="s">
        <v>75</v>
      </c>
      <c r="R236" s="55" t="s">
        <v>75</v>
      </c>
      <c r="S236" s="55" t="s">
        <v>53</v>
      </c>
      <c r="T236" s="32" t="s">
        <v>53</v>
      </c>
      <c r="U236" s="32" t="s">
        <v>47</v>
      </c>
      <c r="V236" s="4" t="s">
        <v>453</v>
      </c>
      <c r="W236" s="28" t="n">
        <f aca="false">'ITRS data'!U28</f>
        <v>10.8</v>
      </c>
      <c r="X236" s="2"/>
      <c r="Y236" s="2"/>
      <c r="Z236" s="2"/>
      <c r="AA236" s="2"/>
      <c r="AB236" s="2"/>
      <c r="AC236" s="2"/>
      <c r="AD236" s="2"/>
      <c r="AE236" s="2"/>
      <c r="AF236" s="2"/>
      <c r="AG236" s="2"/>
    </row>
    <row r="237" s="51" customFormat="true" ht="15.75" hidden="false" customHeight="false" outlineLevel="0" collapsed="false">
      <c r="A237" s="50"/>
      <c r="B237" s="50"/>
      <c r="C237" s="69"/>
      <c r="D237" s="69"/>
      <c r="E237" s="69"/>
      <c r="F237" s="69"/>
      <c r="G237" s="69"/>
      <c r="H237" s="69"/>
      <c r="I237" s="69"/>
      <c r="J237" s="69"/>
      <c r="K237" s="69"/>
      <c r="L237" s="69"/>
      <c r="M237" s="69"/>
      <c r="N237" s="69"/>
      <c r="O237" s="69"/>
      <c r="P237" s="69"/>
      <c r="Q237" s="69"/>
      <c r="R237" s="69"/>
      <c r="S237" s="69"/>
      <c r="T237" s="69"/>
      <c r="U237" s="69"/>
      <c r="V237" s="71"/>
      <c r="W237" s="72"/>
      <c r="X237" s="50"/>
      <c r="Y237" s="50"/>
      <c r="Z237" s="50"/>
      <c r="AA237" s="50"/>
      <c r="AB237" s="50"/>
      <c r="AC237" s="50"/>
      <c r="AD237" s="50"/>
      <c r="AE237" s="50"/>
      <c r="AF237" s="50"/>
      <c r="AG237" s="50"/>
    </row>
    <row r="238" s="30" customFormat="true" ht="173.25" hidden="false" customHeight="false" outlineLevel="0" collapsed="false">
      <c r="A238" s="2"/>
      <c r="B238" s="2" t="s">
        <v>335</v>
      </c>
      <c r="C238" s="3" t="s">
        <v>336</v>
      </c>
      <c r="D238" s="3" t="n">
        <v>2022</v>
      </c>
      <c r="E238" s="20" t="s">
        <v>337</v>
      </c>
      <c r="F238" s="3" t="s">
        <v>62</v>
      </c>
      <c r="G238" s="3" t="s">
        <v>46</v>
      </c>
      <c r="H238" s="3" t="s">
        <v>47</v>
      </c>
      <c r="I238" s="3" t="s">
        <v>47</v>
      </c>
      <c r="J238" s="3" t="n">
        <f aca="false">'GaBi data'!B8</f>
        <v>350</v>
      </c>
      <c r="K238" s="32" t="n">
        <v>300</v>
      </c>
      <c r="L238" s="3" t="s">
        <v>47</v>
      </c>
      <c r="M238" s="3" t="s">
        <v>78</v>
      </c>
      <c r="N238" s="3" t="s">
        <v>47</v>
      </c>
      <c r="O238" s="3" t="s">
        <v>338</v>
      </c>
      <c r="P238" s="3" t="s">
        <v>89</v>
      </c>
      <c r="Q238" s="3" t="s">
        <v>339</v>
      </c>
      <c r="R238" s="3" t="s">
        <v>58</v>
      </c>
      <c r="S238" s="3" t="s">
        <v>47</v>
      </c>
      <c r="T238" s="3" t="s">
        <v>82</v>
      </c>
      <c r="U238" s="3" t="s">
        <v>47</v>
      </c>
      <c r="V238" s="4" t="s">
        <v>340</v>
      </c>
      <c r="W238" s="28" t="str">
        <f aca="false">'GaBi data'!E8</f>
        <v>NA</v>
      </c>
      <c r="X238" s="2"/>
      <c r="Y238" s="2"/>
      <c r="Z238" s="2"/>
      <c r="AA238" s="2"/>
      <c r="AB238" s="2"/>
      <c r="AC238" s="2"/>
      <c r="AD238" s="2"/>
      <c r="AE238" s="2"/>
      <c r="AF238" s="2"/>
      <c r="AG238" s="2"/>
    </row>
    <row r="239" s="30" customFormat="true" ht="173.25" hidden="false" customHeight="false" outlineLevel="0" collapsed="false">
      <c r="A239" s="2"/>
      <c r="B239" s="2" t="s">
        <v>335</v>
      </c>
      <c r="C239" s="3" t="s">
        <v>336</v>
      </c>
      <c r="D239" s="3" t="n">
        <v>2022</v>
      </c>
      <c r="E239" s="20" t="s">
        <v>337</v>
      </c>
      <c r="F239" s="3" t="s">
        <v>62</v>
      </c>
      <c r="G239" s="3" t="s">
        <v>46</v>
      </c>
      <c r="H239" s="3" t="s">
        <v>47</v>
      </c>
      <c r="I239" s="3" t="s">
        <v>47</v>
      </c>
      <c r="J239" s="3" t="n">
        <f aca="false">'GaBi data'!B9</f>
        <v>250</v>
      </c>
      <c r="K239" s="32" t="n">
        <v>300</v>
      </c>
      <c r="L239" s="3" t="s">
        <v>47</v>
      </c>
      <c r="M239" s="3" t="s">
        <v>78</v>
      </c>
      <c r="N239" s="3" t="s">
        <v>47</v>
      </c>
      <c r="O239" s="3" t="s">
        <v>338</v>
      </c>
      <c r="P239" s="3" t="s">
        <v>89</v>
      </c>
      <c r="Q239" s="3" t="s">
        <v>339</v>
      </c>
      <c r="R239" s="3" t="s">
        <v>58</v>
      </c>
      <c r="S239" s="3" t="s">
        <v>47</v>
      </c>
      <c r="T239" s="3" t="s">
        <v>82</v>
      </c>
      <c r="U239" s="3" t="s">
        <v>47</v>
      </c>
      <c r="V239" s="4" t="s">
        <v>340</v>
      </c>
      <c r="W239" s="28" t="str">
        <f aca="false">'GaBi data'!E9</f>
        <v>NA</v>
      </c>
      <c r="X239" s="2"/>
      <c r="Y239" s="2"/>
      <c r="Z239" s="2"/>
      <c r="AA239" s="2"/>
      <c r="AB239" s="2"/>
      <c r="AC239" s="2"/>
      <c r="AD239" s="2"/>
      <c r="AE239" s="2"/>
      <c r="AF239" s="2"/>
      <c r="AG239" s="2"/>
    </row>
    <row r="240" s="30" customFormat="true" ht="173.25" hidden="false" customHeight="false" outlineLevel="0" collapsed="false">
      <c r="A240" s="2"/>
      <c r="B240" s="2" t="s">
        <v>335</v>
      </c>
      <c r="C240" s="3" t="s">
        <v>336</v>
      </c>
      <c r="D240" s="3" t="n">
        <v>2022</v>
      </c>
      <c r="E240" s="20" t="s">
        <v>337</v>
      </c>
      <c r="F240" s="3" t="s">
        <v>62</v>
      </c>
      <c r="G240" s="3" t="s">
        <v>46</v>
      </c>
      <c r="H240" s="3" t="s">
        <v>47</v>
      </c>
      <c r="I240" s="3" t="s">
        <v>47</v>
      </c>
      <c r="J240" s="3" t="n">
        <f aca="false">'GaBi data'!B10</f>
        <v>180</v>
      </c>
      <c r="K240" s="32" t="n">
        <v>300</v>
      </c>
      <c r="L240" s="3" t="s">
        <v>47</v>
      </c>
      <c r="M240" s="3" t="s">
        <v>78</v>
      </c>
      <c r="N240" s="3" t="s">
        <v>47</v>
      </c>
      <c r="O240" s="3" t="s">
        <v>338</v>
      </c>
      <c r="P240" s="3" t="s">
        <v>89</v>
      </c>
      <c r="Q240" s="3" t="s">
        <v>339</v>
      </c>
      <c r="R240" s="3" t="s">
        <v>58</v>
      </c>
      <c r="S240" s="3" t="s">
        <v>47</v>
      </c>
      <c r="T240" s="3" t="s">
        <v>82</v>
      </c>
      <c r="U240" s="3" t="s">
        <v>47</v>
      </c>
      <c r="V240" s="4" t="s">
        <v>340</v>
      </c>
      <c r="W240" s="28" t="str">
        <f aca="false">'GaBi data'!E10</f>
        <v>NA</v>
      </c>
      <c r="X240" s="2"/>
      <c r="Y240" s="2"/>
      <c r="Z240" s="2"/>
      <c r="AA240" s="2"/>
      <c r="AB240" s="2"/>
      <c r="AC240" s="2"/>
      <c r="AD240" s="2"/>
      <c r="AE240" s="2"/>
      <c r="AF240" s="2"/>
      <c r="AG240" s="2"/>
    </row>
    <row r="241" s="30" customFormat="true" ht="173.25" hidden="false" customHeight="false" outlineLevel="0" collapsed="false">
      <c r="A241" s="2"/>
      <c r="B241" s="2" t="s">
        <v>335</v>
      </c>
      <c r="C241" s="3" t="s">
        <v>336</v>
      </c>
      <c r="D241" s="3" t="n">
        <v>2022</v>
      </c>
      <c r="E241" s="20" t="s">
        <v>337</v>
      </c>
      <c r="F241" s="3" t="s">
        <v>62</v>
      </c>
      <c r="G241" s="3" t="s">
        <v>46</v>
      </c>
      <c r="H241" s="3" t="s">
        <v>47</v>
      </c>
      <c r="I241" s="3" t="s">
        <v>47</v>
      </c>
      <c r="J241" s="3" t="n">
        <f aca="false">'GaBi data'!B11</f>
        <v>130</v>
      </c>
      <c r="K241" s="32" t="n">
        <v>300</v>
      </c>
      <c r="L241" s="3" t="s">
        <v>47</v>
      </c>
      <c r="M241" s="3" t="s">
        <v>78</v>
      </c>
      <c r="N241" s="3" t="s">
        <v>47</v>
      </c>
      <c r="O241" s="3" t="s">
        <v>338</v>
      </c>
      <c r="P241" s="3" t="s">
        <v>89</v>
      </c>
      <c r="Q241" s="3" t="s">
        <v>339</v>
      </c>
      <c r="R241" s="3" t="s">
        <v>58</v>
      </c>
      <c r="S241" s="3" t="s">
        <v>47</v>
      </c>
      <c r="T241" s="3" t="s">
        <v>82</v>
      </c>
      <c r="U241" s="3" t="s">
        <v>47</v>
      </c>
      <c r="V241" s="4" t="s">
        <v>340</v>
      </c>
      <c r="W241" s="28" t="str">
        <f aca="false">'GaBi data'!E11</f>
        <v>NA</v>
      </c>
      <c r="X241" s="2"/>
      <c r="Y241" s="2"/>
      <c r="Z241" s="2"/>
      <c r="AA241" s="2"/>
      <c r="AB241" s="2"/>
      <c r="AC241" s="2"/>
      <c r="AD241" s="2"/>
      <c r="AE241" s="2"/>
      <c r="AF241" s="2"/>
      <c r="AG241" s="2"/>
    </row>
    <row r="242" s="30" customFormat="true" ht="173.25" hidden="false" customHeight="false" outlineLevel="0" collapsed="false">
      <c r="A242" s="2"/>
      <c r="B242" s="2" t="s">
        <v>335</v>
      </c>
      <c r="C242" s="3" t="s">
        <v>336</v>
      </c>
      <c r="D242" s="3" t="n">
        <v>2022</v>
      </c>
      <c r="E242" s="20" t="s">
        <v>337</v>
      </c>
      <c r="F242" s="3" t="s">
        <v>62</v>
      </c>
      <c r="G242" s="3" t="s">
        <v>46</v>
      </c>
      <c r="H242" s="3" t="s">
        <v>47</v>
      </c>
      <c r="I242" s="3" t="s">
        <v>47</v>
      </c>
      <c r="J242" s="3" t="n">
        <f aca="false">'GaBi data'!B12</f>
        <v>90</v>
      </c>
      <c r="K242" s="32" t="n">
        <v>300</v>
      </c>
      <c r="L242" s="3" t="s">
        <v>47</v>
      </c>
      <c r="M242" s="3" t="s">
        <v>78</v>
      </c>
      <c r="N242" s="3" t="s">
        <v>47</v>
      </c>
      <c r="O242" s="3" t="s">
        <v>338</v>
      </c>
      <c r="P242" s="3" t="s">
        <v>89</v>
      </c>
      <c r="Q242" s="3" t="s">
        <v>339</v>
      </c>
      <c r="R242" s="3" t="s">
        <v>58</v>
      </c>
      <c r="S242" s="3" t="s">
        <v>47</v>
      </c>
      <c r="T242" s="3" t="s">
        <v>82</v>
      </c>
      <c r="U242" s="3" t="s">
        <v>47</v>
      </c>
      <c r="V242" s="4" t="s">
        <v>340</v>
      </c>
      <c r="W242" s="28" t="str">
        <f aca="false">'GaBi data'!E12</f>
        <v>NA</v>
      </c>
      <c r="X242" s="2"/>
      <c r="Y242" s="2"/>
      <c r="Z242" s="2"/>
      <c r="AA242" s="2"/>
      <c r="AB242" s="2"/>
      <c r="AC242" s="2"/>
      <c r="AD242" s="2"/>
      <c r="AE242" s="2"/>
      <c r="AF242" s="2"/>
      <c r="AG242" s="2"/>
    </row>
    <row r="243" s="30" customFormat="true" ht="173.25" hidden="false" customHeight="false" outlineLevel="0" collapsed="false">
      <c r="A243" s="2"/>
      <c r="B243" s="2" t="s">
        <v>335</v>
      </c>
      <c r="C243" s="3" t="s">
        <v>336</v>
      </c>
      <c r="D243" s="3" t="n">
        <v>2022</v>
      </c>
      <c r="E243" s="20" t="s">
        <v>337</v>
      </c>
      <c r="F243" s="3" t="s">
        <v>62</v>
      </c>
      <c r="G243" s="3" t="s">
        <v>46</v>
      </c>
      <c r="H243" s="3" t="s">
        <v>47</v>
      </c>
      <c r="I243" s="3" t="s">
        <v>47</v>
      </c>
      <c r="J243" s="3" t="n">
        <f aca="false">'GaBi data'!B13</f>
        <v>65</v>
      </c>
      <c r="K243" s="32" t="n">
        <v>300</v>
      </c>
      <c r="L243" s="3" t="s">
        <v>47</v>
      </c>
      <c r="M243" s="3" t="s">
        <v>78</v>
      </c>
      <c r="N243" s="3" t="s">
        <v>47</v>
      </c>
      <c r="O243" s="3" t="s">
        <v>338</v>
      </c>
      <c r="P243" s="3" t="s">
        <v>89</v>
      </c>
      <c r="Q243" s="3" t="s">
        <v>339</v>
      </c>
      <c r="R243" s="3" t="s">
        <v>58</v>
      </c>
      <c r="S243" s="3" t="s">
        <v>47</v>
      </c>
      <c r="T243" s="3" t="s">
        <v>82</v>
      </c>
      <c r="U243" s="3" t="s">
        <v>47</v>
      </c>
      <c r="V243" s="4" t="s">
        <v>340</v>
      </c>
      <c r="W243" s="28" t="str">
        <f aca="false">'GaBi data'!E13</f>
        <v>NA</v>
      </c>
      <c r="X243" s="2"/>
      <c r="Y243" s="2"/>
      <c r="Z243" s="2"/>
      <c r="AA243" s="2"/>
      <c r="AB243" s="2"/>
      <c r="AC243" s="2"/>
      <c r="AD243" s="2"/>
      <c r="AE243" s="2"/>
      <c r="AF243" s="2"/>
      <c r="AG243" s="2"/>
    </row>
    <row r="244" s="30" customFormat="true" ht="173.25" hidden="false" customHeight="false" outlineLevel="0" collapsed="false">
      <c r="A244" s="2"/>
      <c r="B244" s="2" t="s">
        <v>335</v>
      </c>
      <c r="C244" s="3" t="s">
        <v>336</v>
      </c>
      <c r="D244" s="3" t="n">
        <v>2022</v>
      </c>
      <c r="E244" s="20" t="s">
        <v>337</v>
      </c>
      <c r="F244" s="3" t="s">
        <v>62</v>
      </c>
      <c r="G244" s="3" t="s">
        <v>46</v>
      </c>
      <c r="H244" s="3" t="s">
        <v>47</v>
      </c>
      <c r="I244" s="3" t="s">
        <v>47</v>
      </c>
      <c r="J244" s="3" t="n">
        <f aca="false">'GaBi data'!B14</f>
        <v>45</v>
      </c>
      <c r="K244" s="32" t="n">
        <v>300</v>
      </c>
      <c r="L244" s="3" t="s">
        <v>47</v>
      </c>
      <c r="M244" s="3" t="s">
        <v>78</v>
      </c>
      <c r="N244" s="3" t="s">
        <v>47</v>
      </c>
      <c r="O244" s="3" t="s">
        <v>338</v>
      </c>
      <c r="P244" s="3" t="s">
        <v>89</v>
      </c>
      <c r="Q244" s="3" t="s">
        <v>339</v>
      </c>
      <c r="R244" s="3" t="s">
        <v>58</v>
      </c>
      <c r="S244" s="3" t="s">
        <v>47</v>
      </c>
      <c r="T244" s="3" t="s">
        <v>82</v>
      </c>
      <c r="U244" s="3" t="s">
        <v>47</v>
      </c>
      <c r="V244" s="4" t="s">
        <v>340</v>
      </c>
      <c r="W244" s="28" t="str">
        <f aca="false">'GaBi data'!E14</f>
        <v>NA</v>
      </c>
      <c r="X244" s="2"/>
      <c r="Y244" s="2"/>
      <c r="Z244" s="2"/>
      <c r="AA244" s="2"/>
      <c r="AB244" s="2"/>
      <c r="AC244" s="2"/>
      <c r="AD244" s="2"/>
      <c r="AE244" s="2"/>
      <c r="AF244" s="2"/>
      <c r="AG244" s="2"/>
    </row>
    <row r="245" s="30" customFormat="true" ht="173.25" hidden="false" customHeight="false" outlineLevel="0" collapsed="false">
      <c r="A245" s="2"/>
      <c r="B245" s="2" t="s">
        <v>335</v>
      </c>
      <c r="C245" s="3" t="s">
        <v>336</v>
      </c>
      <c r="D245" s="3" t="n">
        <v>2022</v>
      </c>
      <c r="E245" s="20" t="s">
        <v>337</v>
      </c>
      <c r="F245" s="3" t="s">
        <v>62</v>
      </c>
      <c r="G245" s="3" t="s">
        <v>46</v>
      </c>
      <c r="H245" s="3" t="s">
        <v>47</v>
      </c>
      <c r="I245" s="3" t="s">
        <v>47</v>
      </c>
      <c r="J245" s="3" t="n">
        <f aca="false">'GaBi data'!B15</f>
        <v>32</v>
      </c>
      <c r="K245" s="32" t="n">
        <v>300</v>
      </c>
      <c r="L245" s="3" t="s">
        <v>47</v>
      </c>
      <c r="M245" s="3" t="s">
        <v>78</v>
      </c>
      <c r="N245" s="3" t="s">
        <v>47</v>
      </c>
      <c r="O245" s="3" t="s">
        <v>338</v>
      </c>
      <c r="P245" s="3" t="s">
        <v>89</v>
      </c>
      <c r="Q245" s="3" t="s">
        <v>339</v>
      </c>
      <c r="R245" s="3" t="s">
        <v>58</v>
      </c>
      <c r="S245" s="3" t="s">
        <v>47</v>
      </c>
      <c r="T245" s="3" t="s">
        <v>82</v>
      </c>
      <c r="U245" s="3" t="s">
        <v>47</v>
      </c>
      <c r="V245" s="4" t="s">
        <v>340</v>
      </c>
      <c r="W245" s="28" t="str">
        <f aca="false">'GaBi data'!E15</f>
        <v>NA</v>
      </c>
      <c r="X245" s="2"/>
      <c r="Y245" s="2"/>
      <c r="Z245" s="2"/>
      <c r="AA245" s="2"/>
      <c r="AB245" s="2"/>
      <c r="AC245" s="2"/>
      <c r="AD245" s="2"/>
      <c r="AE245" s="2"/>
      <c r="AF245" s="2"/>
      <c r="AG245" s="2"/>
    </row>
    <row r="246" s="30" customFormat="true" ht="173.25" hidden="false" customHeight="false" outlineLevel="0" collapsed="false">
      <c r="A246" s="2"/>
      <c r="B246" s="2" t="s">
        <v>335</v>
      </c>
      <c r="C246" s="3" t="s">
        <v>336</v>
      </c>
      <c r="D246" s="3" t="n">
        <v>2022</v>
      </c>
      <c r="E246" s="20" t="s">
        <v>337</v>
      </c>
      <c r="F246" s="3" t="s">
        <v>62</v>
      </c>
      <c r="G246" s="3" t="s">
        <v>46</v>
      </c>
      <c r="H246" s="3" t="s">
        <v>47</v>
      </c>
      <c r="I246" s="3" t="s">
        <v>47</v>
      </c>
      <c r="J246" s="3" t="n">
        <f aca="false">'GaBi data'!B16</f>
        <v>22</v>
      </c>
      <c r="K246" s="32" t="n">
        <v>300</v>
      </c>
      <c r="L246" s="3" t="s">
        <v>47</v>
      </c>
      <c r="M246" s="3" t="s">
        <v>78</v>
      </c>
      <c r="N246" s="3" t="s">
        <v>47</v>
      </c>
      <c r="O246" s="3" t="s">
        <v>338</v>
      </c>
      <c r="P246" s="3" t="s">
        <v>89</v>
      </c>
      <c r="Q246" s="3" t="s">
        <v>339</v>
      </c>
      <c r="R246" s="3" t="s">
        <v>58</v>
      </c>
      <c r="S246" s="3" t="s">
        <v>47</v>
      </c>
      <c r="T246" s="3" t="s">
        <v>82</v>
      </c>
      <c r="U246" s="3" t="s">
        <v>47</v>
      </c>
      <c r="V246" s="4" t="s">
        <v>340</v>
      </c>
      <c r="W246" s="28" t="str">
        <f aca="false">'GaBi data'!E16</f>
        <v>NA</v>
      </c>
      <c r="X246" s="2"/>
      <c r="Y246" s="2"/>
      <c r="Z246" s="2"/>
      <c r="AA246" s="2"/>
      <c r="AB246" s="2"/>
      <c r="AC246" s="2"/>
      <c r="AD246" s="2"/>
      <c r="AE246" s="2"/>
      <c r="AF246" s="2"/>
      <c r="AG246" s="2"/>
    </row>
    <row r="247" s="30" customFormat="true" ht="173.25" hidden="false" customHeight="false" outlineLevel="0" collapsed="false">
      <c r="A247" s="2"/>
      <c r="B247" s="2" t="s">
        <v>335</v>
      </c>
      <c r="C247" s="3" t="s">
        <v>336</v>
      </c>
      <c r="D247" s="3" t="n">
        <v>2022</v>
      </c>
      <c r="E247" s="20" t="s">
        <v>337</v>
      </c>
      <c r="F247" s="3" t="s">
        <v>62</v>
      </c>
      <c r="G247" s="3" t="s">
        <v>46</v>
      </c>
      <c r="H247" s="3" t="s">
        <v>47</v>
      </c>
      <c r="I247" s="3" t="s">
        <v>47</v>
      </c>
      <c r="J247" s="3" t="n">
        <f aca="false">'GaBi data'!B17</f>
        <v>14</v>
      </c>
      <c r="K247" s="32" t="n">
        <v>300</v>
      </c>
      <c r="L247" s="3" t="s">
        <v>47</v>
      </c>
      <c r="M247" s="3" t="s">
        <v>78</v>
      </c>
      <c r="N247" s="3" t="s">
        <v>47</v>
      </c>
      <c r="O247" s="3" t="s">
        <v>338</v>
      </c>
      <c r="P247" s="3" t="s">
        <v>89</v>
      </c>
      <c r="Q247" s="3" t="s">
        <v>339</v>
      </c>
      <c r="R247" s="3" t="s">
        <v>58</v>
      </c>
      <c r="S247" s="3" t="s">
        <v>47</v>
      </c>
      <c r="T247" s="3" t="s">
        <v>82</v>
      </c>
      <c r="U247" s="3" t="s">
        <v>47</v>
      </c>
      <c r="V247" s="4" t="s">
        <v>340</v>
      </c>
      <c r="W247" s="28" t="str">
        <f aca="false">'GaBi data'!E17</f>
        <v>NA</v>
      </c>
      <c r="X247" s="2"/>
      <c r="Y247" s="2"/>
      <c r="Z247" s="2"/>
      <c r="AA247" s="2"/>
      <c r="AB247" s="2"/>
      <c r="AC247" s="2"/>
      <c r="AD247" s="2"/>
      <c r="AE247" s="2"/>
      <c r="AF247" s="2"/>
      <c r="AG247" s="2"/>
    </row>
    <row r="248" s="30" customFormat="true" ht="189" hidden="false" customHeight="false" outlineLevel="0" collapsed="false">
      <c r="A248" s="2"/>
      <c r="B248" s="2" t="s">
        <v>335</v>
      </c>
      <c r="C248" s="3" t="s">
        <v>336</v>
      </c>
      <c r="D248" s="3" t="n">
        <v>2022</v>
      </c>
      <c r="E248" s="20" t="s">
        <v>337</v>
      </c>
      <c r="F248" s="3" t="s">
        <v>62</v>
      </c>
      <c r="G248" s="3" t="s">
        <v>341</v>
      </c>
      <c r="H248" s="3" t="s">
        <v>47</v>
      </c>
      <c r="I248" s="3" t="s">
        <v>47</v>
      </c>
      <c r="J248" s="3" t="n">
        <f aca="false">'GaBi data'!B19</f>
        <v>57</v>
      </c>
      <c r="K248" s="32" t="n">
        <v>300</v>
      </c>
      <c r="L248" s="3" t="s">
        <v>47</v>
      </c>
      <c r="M248" s="3" t="s">
        <v>74</v>
      </c>
      <c r="N248" s="3" t="s">
        <v>47</v>
      </c>
      <c r="O248" s="3" t="s">
        <v>338</v>
      </c>
      <c r="P248" s="3" t="s">
        <v>89</v>
      </c>
      <c r="Q248" s="3" t="s">
        <v>342</v>
      </c>
      <c r="R248" s="3" t="s">
        <v>58</v>
      </c>
      <c r="S248" s="3" t="s">
        <v>47</v>
      </c>
      <c r="T248" s="3" t="s">
        <v>125</v>
      </c>
      <c r="U248" s="3" t="s">
        <v>47</v>
      </c>
      <c r="V248" s="4" t="s">
        <v>343</v>
      </c>
      <c r="W248" s="28" t="str">
        <f aca="false">'GaBi data'!E19</f>
        <v>NA</v>
      </c>
      <c r="X248" s="2"/>
      <c r="Y248" s="2"/>
      <c r="Z248" s="2"/>
      <c r="AA248" s="2"/>
      <c r="AB248" s="2"/>
      <c r="AC248" s="2"/>
      <c r="AD248" s="2"/>
      <c r="AE248" s="2"/>
      <c r="AF248" s="2"/>
      <c r="AG248" s="2"/>
    </row>
    <row r="249" s="30" customFormat="true" ht="189" hidden="false" customHeight="false" outlineLevel="0" collapsed="false">
      <c r="A249" s="2"/>
      <c r="B249" s="2" t="s">
        <v>335</v>
      </c>
      <c r="C249" s="3" t="s">
        <v>336</v>
      </c>
      <c r="D249" s="3" t="n">
        <v>2022</v>
      </c>
      <c r="E249" s="20" t="s">
        <v>337</v>
      </c>
      <c r="F249" s="3" t="s">
        <v>62</v>
      </c>
      <c r="G249" s="3" t="s">
        <v>341</v>
      </c>
      <c r="H249" s="3" t="s">
        <v>47</v>
      </c>
      <c r="I249" s="3" t="s">
        <v>47</v>
      </c>
      <c r="J249" s="3" t="n">
        <f aca="false">'GaBi data'!B20</f>
        <v>45</v>
      </c>
      <c r="K249" s="32" t="n">
        <v>300</v>
      </c>
      <c r="L249" s="3" t="s">
        <v>47</v>
      </c>
      <c r="M249" s="3" t="s">
        <v>74</v>
      </c>
      <c r="N249" s="3" t="s">
        <v>47</v>
      </c>
      <c r="O249" s="3" t="s">
        <v>338</v>
      </c>
      <c r="P249" s="3" t="s">
        <v>89</v>
      </c>
      <c r="Q249" s="3" t="s">
        <v>342</v>
      </c>
      <c r="R249" s="3" t="s">
        <v>58</v>
      </c>
      <c r="S249" s="3" t="s">
        <v>47</v>
      </c>
      <c r="T249" s="3" t="s">
        <v>125</v>
      </c>
      <c r="U249" s="3" t="s">
        <v>47</v>
      </c>
      <c r="V249" s="4" t="s">
        <v>344</v>
      </c>
      <c r="W249" s="28" t="str">
        <f aca="false">'GaBi data'!E20</f>
        <v>NA</v>
      </c>
      <c r="X249" s="2"/>
      <c r="Y249" s="2"/>
      <c r="Z249" s="2"/>
      <c r="AA249" s="2"/>
      <c r="AB249" s="2"/>
      <c r="AC249" s="2"/>
      <c r="AD249" s="2"/>
      <c r="AE249" s="2"/>
      <c r="AF249" s="2"/>
      <c r="AG249" s="2"/>
    </row>
    <row r="250" s="47" customFormat="true" ht="15.75" hidden="false" customHeight="false" outlineLevel="0" collapsed="false">
      <c r="A250" s="40"/>
      <c r="B250" s="40"/>
      <c r="C250" s="41" t="s">
        <v>169</v>
      </c>
      <c r="D250" s="42"/>
      <c r="E250" s="43"/>
      <c r="F250" s="41" t="s">
        <v>169</v>
      </c>
      <c r="G250" s="42"/>
      <c r="H250" s="42"/>
      <c r="I250" s="42"/>
      <c r="J250" s="42"/>
      <c r="K250" s="42"/>
      <c r="L250" s="42"/>
      <c r="M250" s="42"/>
      <c r="N250" s="42"/>
      <c r="O250" s="42"/>
      <c r="P250" s="42"/>
      <c r="Q250" s="42"/>
      <c r="R250" s="42"/>
      <c r="S250" s="42"/>
      <c r="T250" s="42"/>
      <c r="U250" s="42"/>
      <c r="V250" s="44"/>
      <c r="W250" s="45"/>
      <c r="X250" s="46"/>
      <c r="Y250" s="46"/>
      <c r="Z250" s="40"/>
      <c r="AA250" s="40"/>
      <c r="AB250" s="40"/>
      <c r="AC250" s="40"/>
      <c r="AD250" s="40"/>
      <c r="AE250" s="40"/>
      <c r="AF250" s="40"/>
      <c r="AG250" s="40"/>
    </row>
    <row r="251" s="30" customFormat="true" ht="31.5" hidden="false" customHeight="false" outlineLevel="0" collapsed="false">
      <c r="A251" s="2"/>
      <c r="B251" s="2" t="s">
        <v>345</v>
      </c>
      <c r="C251" s="3" t="s">
        <v>346</v>
      </c>
      <c r="D251" s="3" t="n">
        <v>2019</v>
      </c>
      <c r="E251" s="20" t="s">
        <v>347</v>
      </c>
      <c r="F251" s="3" t="s">
        <v>62</v>
      </c>
      <c r="G251" s="3" t="s">
        <v>58</v>
      </c>
      <c r="H251" s="3" t="s">
        <v>47</v>
      </c>
      <c r="I251" s="3" t="s">
        <v>53</v>
      </c>
      <c r="J251" s="3" t="n">
        <v>130</v>
      </c>
      <c r="K251" s="3" t="n">
        <v>300</v>
      </c>
      <c r="L251" s="3" t="s">
        <v>114</v>
      </c>
      <c r="M251" s="3" t="s">
        <v>53</v>
      </c>
      <c r="N251" s="3" t="s">
        <v>47</v>
      </c>
      <c r="O251" s="3" t="s">
        <v>65</v>
      </c>
      <c r="P251" s="3" t="s">
        <v>89</v>
      </c>
      <c r="Q251" s="3" t="s">
        <v>50</v>
      </c>
      <c r="R251" s="3" t="s">
        <v>58</v>
      </c>
      <c r="S251" s="3" t="s">
        <v>78</v>
      </c>
      <c r="T251" s="3" t="s">
        <v>53</v>
      </c>
      <c r="U251" s="3" t="s">
        <v>47</v>
      </c>
      <c r="V251" s="4" t="s">
        <v>348</v>
      </c>
      <c r="W251" s="28" t="n">
        <f aca="false">'EIME data'!E6</f>
        <v>25</v>
      </c>
      <c r="X251" s="2"/>
      <c r="Y251" s="2"/>
      <c r="Z251" s="2"/>
      <c r="AA251" s="2"/>
      <c r="AB251" s="2"/>
      <c r="AC251" s="2"/>
      <c r="AD251" s="2"/>
      <c r="AE251" s="2"/>
      <c r="AF251" s="2"/>
      <c r="AG251" s="2"/>
    </row>
    <row r="252" s="30" customFormat="true" ht="31.5" hidden="false" customHeight="false" outlineLevel="0" collapsed="false">
      <c r="A252" s="2"/>
      <c r="B252" s="2" t="s">
        <v>345</v>
      </c>
      <c r="C252" s="3" t="s">
        <v>346</v>
      </c>
      <c r="D252" s="3" t="n">
        <v>2019</v>
      </c>
      <c r="E252" s="20" t="s">
        <v>347</v>
      </c>
      <c r="F252" s="3" t="s">
        <v>62</v>
      </c>
      <c r="G252" s="3" t="s">
        <v>58</v>
      </c>
      <c r="H252" s="3" t="s">
        <v>47</v>
      </c>
      <c r="I252" s="3" t="s">
        <v>53</v>
      </c>
      <c r="J252" s="3" t="n">
        <v>90</v>
      </c>
      <c r="K252" s="3" t="n">
        <v>300</v>
      </c>
      <c r="L252" s="3" t="s">
        <v>114</v>
      </c>
      <c r="M252" s="3" t="s">
        <v>53</v>
      </c>
      <c r="N252" s="3" t="s">
        <v>47</v>
      </c>
      <c r="O252" s="3" t="s">
        <v>65</v>
      </c>
      <c r="P252" s="3" t="s">
        <v>89</v>
      </c>
      <c r="Q252" s="3" t="s">
        <v>50</v>
      </c>
      <c r="R252" s="3" t="s">
        <v>58</v>
      </c>
      <c r="S252" s="3" t="s">
        <v>78</v>
      </c>
      <c r="T252" s="3" t="s">
        <v>53</v>
      </c>
      <c r="U252" s="3" t="s">
        <v>47</v>
      </c>
      <c r="V252" s="4" t="s">
        <v>348</v>
      </c>
      <c r="W252" s="28" t="n">
        <f aca="false">'EIME data'!E7</f>
        <v>28.3</v>
      </c>
      <c r="X252" s="2"/>
      <c r="Y252" s="2"/>
      <c r="Z252" s="2"/>
      <c r="AA252" s="2"/>
      <c r="AB252" s="2"/>
      <c r="AC252" s="2"/>
      <c r="AD252" s="2"/>
      <c r="AE252" s="2"/>
      <c r="AF252" s="2"/>
      <c r="AG252" s="2"/>
    </row>
    <row r="253" s="30" customFormat="true" ht="31.5" hidden="false" customHeight="false" outlineLevel="0" collapsed="false">
      <c r="A253" s="2"/>
      <c r="B253" s="2" t="s">
        <v>345</v>
      </c>
      <c r="C253" s="3" t="s">
        <v>346</v>
      </c>
      <c r="D253" s="3" t="n">
        <v>2019</v>
      </c>
      <c r="E253" s="20" t="s">
        <v>347</v>
      </c>
      <c r="F253" s="3" t="s">
        <v>62</v>
      </c>
      <c r="G253" s="3" t="s">
        <v>58</v>
      </c>
      <c r="H253" s="3" t="s">
        <v>47</v>
      </c>
      <c r="I253" s="3" t="s">
        <v>53</v>
      </c>
      <c r="J253" s="3" t="n">
        <v>28</v>
      </c>
      <c r="K253" s="3" t="n">
        <v>300</v>
      </c>
      <c r="L253" s="3" t="s">
        <v>114</v>
      </c>
      <c r="M253" s="3" t="s">
        <v>53</v>
      </c>
      <c r="N253" s="3" t="s">
        <v>47</v>
      </c>
      <c r="O253" s="3" t="s">
        <v>65</v>
      </c>
      <c r="P253" s="3" t="s">
        <v>89</v>
      </c>
      <c r="Q253" s="3" t="s">
        <v>50</v>
      </c>
      <c r="R253" s="3" t="s">
        <v>58</v>
      </c>
      <c r="S253" s="3" t="s">
        <v>78</v>
      </c>
      <c r="T253" s="3" t="s">
        <v>53</v>
      </c>
      <c r="U253" s="3" t="s">
        <v>47</v>
      </c>
      <c r="V253" s="4" t="s">
        <v>348</v>
      </c>
      <c r="W253" s="28" t="n">
        <f aca="false">'EIME data'!E9</f>
        <v>42.4</v>
      </c>
      <c r="X253" s="2"/>
      <c r="Y253" s="2"/>
      <c r="Z253" s="2"/>
      <c r="AA253" s="2"/>
      <c r="AB253" s="2"/>
      <c r="AC253" s="2"/>
      <c r="AD253" s="2"/>
      <c r="AE253" s="2"/>
      <c r="AF253" s="2"/>
      <c r="AG253" s="2"/>
    </row>
    <row r="254" s="30" customFormat="true" ht="31.5" hidden="false" customHeight="false" outlineLevel="0" collapsed="false">
      <c r="A254" s="2"/>
      <c r="B254" s="2" t="s">
        <v>345</v>
      </c>
      <c r="C254" s="3" t="s">
        <v>346</v>
      </c>
      <c r="D254" s="3" t="n">
        <v>2019</v>
      </c>
      <c r="E254" s="20" t="s">
        <v>347</v>
      </c>
      <c r="F254" s="3" t="s">
        <v>62</v>
      </c>
      <c r="G254" s="3" t="s">
        <v>58</v>
      </c>
      <c r="H254" s="3" t="s">
        <v>47</v>
      </c>
      <c r="I254" s="3" t="s">
        <v>53</v>
      </c>
      <c r="J254" s="3" t="n">
        <v>16</v>
      </c>
      <c r="K254" s="3" t="n">
        <v>300</v>
      </c>
      <c r="L254" s="3" t="s">
        <v>114</v>
      </c>
      <c r="M254" s="3" t="s">
        <v>53</v>
      </c>
      <c r="N254" s="3" t="s">
        <v>47</v>
      </c>
      <c r="O254" s="3" t="s">
        <v>65</v>
      </c>
      <c r="P254" s="3" t="s">
        <v>89</v>
      </c>
      <c r="Q254" s="3" t="s">
        <v>50</v>
      </c>
      <c r="R254" s="3" t="s">
        <v>58</v>
      </c>
      <c r="S254" s="3" t="s">
        <v>78</v>
      </c>
      <c r="T254" s="3" t="s">
        <v>53</v>
      </c>
      <c r="U254" s="3" t="s">
        <v>47</v>
      </c>
      <c r="V254" s="4" t="s">
        <v>348</v>
      </c>
      <c r="W254" s="28" t="n">
        <f aca="false">'EIME data'!E10</f>
        <v>46.5</v>
      </c>
      <c r="X254" s="2"/>
      <c r="Y254" s="2"/>
      <c r="Z254" s="2"/>
      <c r="AA254" s="2"/>
      <c r="AB254" s="2"/>
      <c r="AC254" s="2"/>
      <c r="AD254" s="2"/>
      <c r="AE254" s="2"/>
      <c r="AF254" s="2"/>
      <c r="AG254" s="2"/>
    </row>
    <row r="255" s="30" customFormat="true" ht="31.5" hidden="false" customHeight="false" outlineLevel="0" collapsed="false">
      <c r="A255" s="2"/>
      <c r="B255" s="2" t="s">
        <v>345</v>
      </c>
      <c r="C255" s="3" t="s">
        <v>346</v>
      </c>
      <c r="D255" s="3" t="n">
        <v>2019</v>
      </c>
      <c r="E255" s="20" t="s">
        <v>347</v>
      </c>
      <c r="F255" s="3" t="s">
        <v>62</v>
      </c>
      <c r="G255" s="3" t="s">
        <v>58</v>
      </c>
      <c r="H255" s="3" t="s">
        <v>47</v>
      </c>
      <c r="I255" s="3" t="s">
        <v>53</v>
      </c>
      <c r="J255" s="3" t="n">
        <v>14</v>
      </c>
      <c r="K255" s="3" t="n">
        <v>300</v>
      </c>
      <c r="L255" s="3" t="s">
        <v>114</v>
      </c>
      <c r="M255" s="3" t="s">
        <v>53</v>
      </c>
      <c r="N255" s="3" t="s">
        <v>47</v>
      </c>
      <c r="O255" s="3" t="s">
        <v>65</v>
      </c>
      <c r="P255" s="3" t="s">
        <v>89</v>
      </c>
      <c r="Q255" s="3" t="s">
        <v>50</v>
      </c>
      <c r="R255" s="3" t="s">
        <v>58</v>
      </c>
      <c r="S255" s="3" t="s">
        <v>78</v>
      </c>
      <c r="T255" s="3" t="s">
        <v>53</v>
      </c>
      <c r="U255" s="3" t="s">
        <v>47</v>
      </c>
      <c r="V255" s="4" t="s">
        <v>348</v>
      </c>
      <c r="W255" s="28" t="n">
        <f aca="false">'EIME data'!E11</f>
        <v>49</v>
      </c>
      <c r="X255" s="2"/>
      <c r="Y255" s="2"/>
      <c r="Z255" s="2"/>
      <c r="AA255" s="2"/>
      <c r="AB255" s="2"/>
      <c r="AC255" s="2"/>
      <c r="AD255" s="2"/>
      <c r="AE255" s="2"/>
      <c r="AF255" s="2"/>
      <c r="AG255" s="2"/>
    </row>
    <row r="256" s="30" customFormat="true" ht="31.5" hidden="false" customHeight="false" outlineLevel="0" collapsed="false">
      <c r="A256" s="2"/>
      <c r="B256" s="2" t="s">
        <v>345</v>
      </c>
      <c r="C256" s="3" t="s">
        <v>346</v>
      </c>
      <c r="D256" s="3" t="n">
        <v>2019</v>
      </c>
      <c r="E256" s="20" t="s">
        <v>347</v>
      </c>
      <c r="F256" s="3" t="s">
        <v>62</v>
      </c>
      <c r="G256" s="3" t="s">
        <v>58</v>
      </c>
      <c r="H256" s="3" t="s">
        <v>47</v>
      </c>
      <c r="I256" s="3" t="s">
        <v>53</v>
      </c>
      <c r="J256" s="3" t="n">
        <v>12</v>
      </c>
      <c r="K256" s="3" t="n">
        <v>300</v>
      </c>
      <c r="L256" s="3" t="s">
        <v>114</v>
      </c>
      <c r="M256" s="3" t="s">
        <v>53</v>
      </c>
      <c r="N256" s="3" t="s">
        <v>47</v>
      </c>
      <c r="O256" s="3" t="s">
        <v>65</v>
      </c>
      <c r="P256" s="3" t="s">
        <v>89</v>
      </c>
      <c r="Q256" s="3" t="s">
        <v>50</v>
      </c>
      <c r="R256" s="3" t="s">
        <v>58</v>
      </c>
      <c r="S256" s="3" t="s">
        <v>78</v>
      </c>
      <c r="T256" s="3" t="s">
        <v>53</v>
      </c>
      <c r="U256" s="3" t="s">
        <v>47</v>
      </c>
      <c r="V256" s="4" t="s">
        <v>348</v>
      </c>
      <c r="W256" s="28" t="n">
        <f aca="false">'EIME data'!E12</f>
        <v>54</v>
      </c>
      <c r="X256" s="2"/>
      <c r="Y256" s="2"/>
      <c r="Z256" s="2"/>
      <c r="AA256" s="2"/>
      <c r="AB256" s="2"/>
      <c r="AC256" s="2"/>
      <c r="AD256" s="2"/>
      <c r="AE256" s="2"/>
      <c r="AF256" s="2"/>
      <c r="AG256" s="2"/>
    </row>
    <row r="257" s="30" customFormat="true" ht="31.5" hidden="false" customHeight="false" outlineLevel="0" collapsed="false">
      <c r="A257" s="2"/>
      <c r="B257" s="2" t="s">
        <v>345</v>
      </c>
      <c r="C257" s="3" t="s">
        <v>346</v>
      </c>
      <c r="D257" s="3" t="n">
        <v>2019</v>
      </c>
      <c r="E257" s="20" t="s">
        <v>347</v>
      </c>
      <c r="F257" s="3" t="s">
        <v>62</v>
      </c>
      <c r="G257" s="3" t="s">
        <v>58</v>
      </c>
      <c r="H257" s="3" t="s">
        <v>47</v>
      </c>
      <c r="I257" s="3" t="s">
        <v>53</v>
      </c>
      <c r="J257" s="3" t="n">
        <v>8</v>
      </c>
      <c r="K257" s="3" t="n">
        <v>300</v>
      </c>
      <c r="L257" s="3" t="s">
        <v>114</v>
      </c>
      <c r="M257" s="3" t="s">
        <v>53</v>
      </c>
      <c r="N257" s="3" t="s">
        <v>47</v>
      </c>
      <c r="O257" s="3" t="s">
        <v>65</v>
      </c>
      <c r="P257" s="3" t="s">
        <v>89</v>
      </c>
      <c r="Q257" s="3" t="s">
        <v>50</v>
      </c>
      <c r="R257" s="3" t="s">
        <v>58</v>
      </c>
      <c r="S257" s="3" t="s">
        <v>78</v>
      </c>
      <c r="T257" s="3" t="s">
        <v>53</v>
      </c>
      <c r="U257" s="3" t="s">
        <v>47</v>
      </c>
      <c r="V257" s="4" t="s">
        <v>348</v>
      </c>
      <c r="W257" s="28" t="n">
        <f aca="false">'EIME data'!E13</f>
        <v>59</v>
      </c>
      <c r="X257" s="2"/>
      <c r="Y257" s="2"/>
      <c r="Z257" s="2"/>
      <c r="AA257" s="2"/>
      <c r="AB257" s="2"/>
      <c r="AC257" s="2"/>
      <c r="AD257" s="2"/>
      <c r="AE257" s="2"/>
      <c r="AF257" s="2"/>
      <c r="AG257" s="2"/>
    </row>
    <row r="258" s="30" customFormat="true" ht="31.5" hidden="false" customHeight="false" outlineLevel="0" collapsed="false">
      <c r="A258" s="2"/>
      <c r="B258" s="2" t="s">
        <v>345</v>
      </c>
      <c r="C258" s="3" t="s">
        <v>346</v>
      </c>
      <c r="D258" s="3" t="n">
        <v>2019</v>
      </c>
      <c r="E258" s="20" t="s">
        <v>347</v>
      </c>
      <c r="F258" s="3" t="s">
        <v>62</v>
      </c>
      <c r="G258" s="3" t="s">
        <v>58</v>
      </c>
      <c r="H258" s="3" t="s">
        <v>47</v>
      </c>
      <c r="I258" s="3" t="s">
        <v>53</v>
      </c>
      <c r="J258" s="3" t="n">
        <v>7</v>
      </c>
      <c r="K258" s="3" t="n">
        <v>300</v>
      </c>
      <c r="L258" s="3" t="s">
        <v>114</v>
      </c>
      <c r="M258" s="3" t="s">
        <v>53</v>
      </c>
      <c r="N258" s="3" t="s">
        <v>47</v>
      </c>
      <c r="O258" s="3" t="s">
        <v>65</v>
      </c>
      <c r="P258" s="3" t="s">
        <v>89</v>
      </c>
      <c r="Q258" s="3" t="s">
        <v>50</v>
      </c>
      <c r="R258" s="3" t="s">
        <v>58</v>
      </c>
      <c r="S258" s="3" t="s">
        <v>78</v>
      </c>
      <c r="T258" s="3" t="s">
        <v>53</v>
      </c>
      <c r="U258" s="3" t="s">
        <v>47</v>
      </c>
      <c r="V258" s="4" t="s">
        <v>348</v>
      </c>
      <c r="W258" s="28" t="n">
        <f aca="false">'EIME data'!E14</f>
        <v>63.1</v>
      </c>
      <c r="X258" s="2"/>
      <c r="Y258" s="2"/>
      <c r="Z258" s="2"/>
      <c r="AA258" s="2"/>
      <c r="AB258" s="2"/>
      <c r="AC258" s="2"/>
      <c r="AD258" s="2"/>
      <c r="AE258" s="2"/>
      <c r="AF258" s="2"/>
      <c r="AG258" s="2"/>
    </row>
    <row r="259" s="47" customFormat="true" ht="15.75" hidden="false" customHeight="false" outlineLevel="0" collapsed="false">
      <c r="A259" s="40"/>
      <c r="B259" s="40"/>
      <c r="C259" s="41" t="s">
        <v>169</v>
      </c>
      <c r="D259" s="42"/>
      <c r="E259" s="43"/>
      <c r="F259" s="41" t="s">
        <v>169</v>
      </c>
      <c r="G259" s="42"/>
      <c r="H259" s="42"/>
      <c r="I259" s="42"/>
      <c r="J259" s="42"/>
      <c r="K259" s="42"/>
      <c r="L259" s="42"/>
      <c r="M259" s="42"/>
      <c r="N259" s="42"/>
      <c r="O259" s="42"/>
      <c r="P259" s="42"/>
      <c r="Q259" s="42"/>
      <c r="R259" s="42"/>
      <c r="S259" s="42"/>
      <c r="T259" s="42"/>
      <c r="U259" s="42"/>
      <c r="V259" s="44"/>
      <c r="W259" s="45"/>
      <c r="X259" s="46"/>
      <c r="Y259" s="46"/>
      <c r="Z259" s="40"/>
      <c r="AA259" s="40"/>
      <c r="AB259" s="40"/>
      <c r="AC259" s="40"/>
      <c r="AD259" s="40"/>
      <c r="AE259" s="40"/>
      <c r="AF259" s="40"/>
      <c r="AG259" s="40"/>
    </row>
    <row r="260" s="30" customFormat="true" ht="173.25" hidden="false" customHeight="false" outlineLevel="0" collapsed="false">
      <c r="A260" s="2"/>
      <c r="B260" s="2" t="s">
        <v>349</v>
      </c>
      <c r="C260" s="3" t="s">
        <v>349</v>
      </c>
      <c r="D260" s="32" t="n">
        <v>2016</v>
      </c>
      <c r="E260" s="20" t="s">
        <v>350</v>
      </c>
      <c r="F260" s="3" t="s">
        <v>62</v>
      </c>
      <c r="G260" s="3" t="s">
        <v>46</v>
      </c>
      <c r="H260" s="3" t="s">
        <v>47</v>
      </c>
      <c r="I260" s="3" t="s">
        <v>47</v>
      </c>
      <c r="J260" s="32" t="s">
        <v>75</v>
      </c>
      <c r="K260" s="32" t="s">
        <v>351</v>
      </c>
      <c r="L260" s="32" t="s">
        <v>90</v>
      </c>
      <c r="M260" s="32" t="s">
        <v>78</v>
      </c>
      <c r="N260" s="32" t="s">
        <v>82</v>
      </c>
      <c r="O260" s="3" t="s">
        <v>352</v>
      </c>
      <c r="P260" s="3" t="s">
        <v>89</v>
      </c>
      <c r="Q260" s="3" t="s">
        <v>454</v>
      </c>
      <c r="R260" s="32" t="s">
        <v>53</v>
      </c>
      <c r="S260" s="3" t="s">
        <v>73</v>
      </c>
      <c r="T260" s="3" t="s">
        <v>47</v>
      </c>
      <c r="U260" s="3" t="s">
        <v>53</v>
      </c>
      <c r="V260" s="4" t="s">
        <v>353</v>
      </c>
      <c r="W260" s="28" t="n">
        <f aca="false">'EcoInvent data'!H24</f>
        <v>111.028655555556</v>
      </c>
      <c r="X260" s="2"/>
      <c r="Y260" s="2"/>
      <c r="Z260" s="2"/>
      <c r="AA260" s="2"/>
      <c r="AB260" s="2"/>
      <c r="AC260" s="2"/>
      <c r="AD260" s="2"/>
      <c r="AE260" s="2"/>
      <c r="AF260" s="2"/>
      <c r="AG260" s="2"/>
    </row>
    <row r="261" s="24" customFormat="true" ht="15.75" hidden="false" customHeight="false" outlineLevel="0" collapsed="false">
      <c r="A261" s="76"/>
      <c r="W261" s="25"/>
    </row>
  </sheetData>
  <mergeCells count="2">
    <mergeCell ref="B2:W2"/>
    <mergeCell ref="G4:U4"/>
  </mergeCells>
  <hyperlinks>
    <hyperlink ref="E7" r:id="rId1" display="https://www.fairphone.com/wp-content/uploads/2016/11/Fairphone_2_LCA_Final_20161122.pdf"/>
    <hyperlink ref="E8" r:id="rId2" display="https://www.fairphone.com/wp-content/uploads/2020/07/Fairphone_3_LCA.pdf "/>
    <hyperlink ref="E9" r:id="rId3" display="https://ieeexplore.ieee.org/document/9372004/"/>
    <hyperlink ref="E10" r:id="rId4" display="https://ieeexplore.ieee.org/document/9372004/"/>
    <hyperlink ref="E11" r:id="rId5" display="https://ieeexplore.ieee.org/document/9372004/"/>
    <hyperlink ref="E12" r:id="rId6" display="https://ieeexplore.ieee.org/document/9372004/"/>
    <hyperlink ref="E13" r:id="rId7" display="https://ieeexplore.ieee.org/document/9372004/"/>
    <hyperlink ref="E14" r:id="rId8" display="https://ieeexplore.ieee.org/document/9372004/"/>
    <hyperlink ref="E15" r:id="rId9" display="https://ieeexplore.ieee.org/document/9372004/"/>
    <hyperlink ref="E16" r:id="rId10" display="https://ieeexplore.ieee.org/document/9372004/"/>
    <hyperlink ref="E17" r:id="rId11" display="https://ieeexplore.ieee.org/document/9372004/"/>
    <hyperlink ref="E18" r:id="rId12" display="http://link.springer.com/10.1007/978-1-4419-9988-7"/>
    <hyperlink ref="E19" r:id="rId13" display="http://link.springer.com/10.1007/978-1-4419-9988-8"/>
    <hyperlink ref="E20" r:id="rId14" display="http://link.springer.com/10.1007/978-1-4419-9988-9"/>
    <hyperlink ref="E21" r:id="rId15" display="http://link.springer.com/10.1007/978-1-4419-9988-10"/>
    <hyperlink ref="E22" r:id="rId16" display="http://link.springer.com/10.1007/978-1-4419-9988-11"/>
    <hyperlink ref="E23" r:id="rId17" display="http://link.springer.com/10.1007/978-1-4419-9988-12"/>
    <hyperlink ref="E24" r:id="rId18" display="http://link.springer.com/10.1007/978-1-4419-9988-13"/>
    <hyperlink ref="E25" r:id="rId19" display="http://link.springer.com/10.1007/978-1-4419-9988-14"/>
    <hyperlink ref="E26" r:id="rId20" display="http://www.atlantis-press.com/php/paper-details.php?id=25860375"/>
    <hyperlink ref="E27" r:id="rId21" display="https://doi.org/10.14288/1.0167496"/>
    <hyperlink ref="E28" r:id="rId22" display="https://doi.org/10.14288/1.0167496"/>
    <hyperlink ref="E29" r:id="rId23" display="https://doi.org/10.1109/FTFC.2013.6577767"/>
    <hyperlink ref="E30" r:id="rId24" display="https://doi.org/10.1109/FTFC.2013.6577767"/>
    <hyperlink ref="E31" r:id="rId25" display="https://doi.org/10.1109/FTFC.2013.6577767"/>
    <hyperlink ref="E32" r:id="rId26" display="https://doi.org/10.1109/ISSST.2011.5936883"/>
    <hyperlink ref="E33" r:id="rId27" display="https://doi.org/10.1109/ISSST.2011.5936884"/>
    <hyperlink ref="E34" r:id="rId28" display="https://doi.org/10.1109/ISSST.2011.5936885"/>
    <hyperlink ref="E35" r:id="rId29" display="https://doi.org/10.1109/ISSST.2011.5936886"/>
    <hyperlink ref="E36" r:id="rId30" display="https://doi.org/10.1109/ISSST.2011.5936887"/>
    <hyperlink ref="E37" r:id="rId31" display="https://www.mpedram.com/Papers/lifecycle-inventory-analysis-finfet-issst14.pdf"/>
    <hyperlink ref="E38" r:id="rId32" display="https://www.mpedram.com/Papers/lifecycle-inventory-analysis-finfet-issst14.pdf"/>
    <hyperlink ref="E39" r:id="rId33" display="https://www.mpedram.com/Papers/lifecycle-inventory-analysis-finfet-issst14.pdf"/>
    <hyperlink ref="E40" r:id="rId34" display="https://doi.org/10.14288/1.0167496"/>
    <hyperlink ref="E41" r:id="rId35" display="https://doi.org/10.14288/1.0167496"/>
    <hyperlink ref="E42" r:id="rId36" display="https://doi.org/10.14288/1.0167496"/>
    <hyperlink ref="E43" r:id="rId37" display="https://doi.org/10.14288/1.0167496"/>
    <hyperlink ref="E44" r:id="rId38" display="https://doi.org/10.14288/1.0167496"/>
    <hyperlink ref="E45" r:id="rId39" display="http://ieeexplore.ieee.org/document/6691120/"/>
    <hyperlink ref="E46" r:id="rId40" display="http://ieeexplore.ieee.org/document/6691120/"/>
    <hyperlink ref="E47" r:id="rId41" display="http://ieeexplore.ieee.org/document/6691120/"/>
    <hyperlink ref="E48" r:id="rId42" display="http://ieeexplore.ieee.org/document/6691120/"/>
    <hyperlink ref="E49" r:id="rId43" display="http://ieeexplore.ieee.org/document/6691120/"/>
    <hyperlink ref="E50" r:id="rId44" display="http://ieeexplore.ieee.org/document/6691120/"/>
    <hyperlink ref="E51" r:id="rId45" display="http://ieeexplore.ieee.org/document/6691120/"/>
    <hyperlink ref="E52" r:id="rId46" display="http://ieeexplore.ieee.org/document/6691120/"/>
    <hyperlink ref="E53" r:id="rId47" display="http://ieeexplore.ieee.org/document/6691120/"/>
    <hyperlink ref="E54" r:id="rId48" display="https://www.umweltbundesamt.de/sites/default/files/medien/378/publikationen/texte_82_2013_janssen_informationstechnik_teil_c.pdf"/>
    <hyperlink ref="E55" r:id="rId49" display="http://link.springer.com/10.1007/978-1-4419-9988-14"/>
    <hyperlink ref="E56" r:id="rId50" display="https://doi.org/10.1016/j.segan.2020.100408"/>
    <hyperlink ref="E57" r:id="rId51" display="https://doi.org/10.1016/j.segan.2020.100408"/>
    <hyperlink ref="E58" r:id="rId52" display="https://doi.org/10.1016/j.segan.2020.100409"/>
    <hyperlink ref="E59" r:id="rId53" display="https://doi.org/10.1016/j.segan.2020.100410"/>
    <hyperlink ref="E60" r:id="rId54" display="https://doi.org/10.1016/j.segan.2020.100411"/>
    <hyperlink ref="E61" r:id="rId55" display="https://doi.org/10.1016/j.segan.2020.100412"/>
    <hyperlink ref="E62" r:id="rId56" display="https://doi.org/10.1016/j.segan.2020.100413"/>
    <hyperlink ref="E63" r:id="rId57" display="https://doi.org/10.1016/j.segan.2020.100414"/>
    <hyperlink ref="E64" r:id="rId58" display="https://doi.org/10.1016/j.segan.2020.100415"/>
    <hyperlink ref="E65" r:id="rId59" display="https://doi.org/10.1016/j.segan.2020.100416"/>
    <hyperlink ref="E66" r:id="rId60" display="https://doi.org/10.1016/j.segan.2020.100417"/>
    <hyperlink ref="E67" r:id="rId61" display="https://doi.org/10.1016/j.segan.2020.100418"/>
    <hyperlink ref="E68" r:id="rId62" display="https://doi.org/10.1016/j.segan.2020.100419"/>
    <hyperlink ref="E69" r:id="rId63" display="https://doi.org/10.1016/j.segan.2020.100420"/>
    <hyperlink ref="E70" r:id="rId64" display="https://doi.org/10.1016/j.segan.2020.100421"/>
    <hyperlink ref="E71" r:id="rId65" display="http://www.atlantis-press.com/php/paper-details.php?id=25860375"/>
    <hyperlink ref="E72" r:id="rId66" display="https://doi.org/10.1109/IGCC.2017.8323572"/>
    <hyperlink ref="E73" r:id="rId67" display="https://doi.org/10.1109/IGCC.2017.8323573"/>
    <hyperlink ref="E74" r:id="rId68" display="https://doi.org/10.1109/IGCC.2017.8323574"/>
    <hyperlink ref="E75" r:id="rId69" display="https://doi.org/10.1109/IGCC.2017.8323575"/>
    <hyperlink ref="E76" r:id="rId70" display="https://doi.org/10.1109/IGCC.2017.8323576"/>
    <hyperlink ref="E77" r:id="rId71" display="https://doi.org/10.1109/IGCC.2017.8323577"/>
    <hyperlink ref="E78" r:id="rId72" display="https://doi.org/10.1109/IGCC.2017.8323578"/>
    <hyperlink ref="E80" r:id="rId73" display="https://citeseerx.ist.psu.edu/viewdoc/download?doi=10.1.1.118.6922&amp;rep=rep1&amp;type=pdf"/>
    <hyperlink ref="E81" r:id="rId74" display="https://citeseerx.ist.psu.edu/viewdoc/download?doi=10.1.1.118.6922&amp;rep=rep1&amp;type=pdf"/>
    <hyperlink ref="E82" r:id="rId75" display="https://citeseerx.ist.psu.edu/viewdoc/download?doi=10.1.1.118.6922&amp;rep=rep1&amp;type=pdf"/>
    <hyperlink ref="E83" r:id="rId76" display="https://citeseerx.ist.psu.edu/viewdoc/download?doi=10.1.1.118.6922&amp;rep=rep1&amp;type=pdf"/>
    <hyperlink ref="E84" r:id="rId77" display="https://citeseerx.ist.psu.edu/viewdoc/download?doi=10.1.1.118.6922&amp;rep=rep1&amp;type=pdf"/>
    <hyperlink ref="E85" r:id="rId78" display="https://citeseerx.ist.psu.edu/viewdoc/download?doi=10.1.1.118.6922&amp;rep=rep1&amp;type=pdf"/>
    <hyperlink ref="E86" r:id="rId79" display="https://citeseerx.ist.psu.edu/viewdoc/download?doi=10.1.1.118.6922&amp;rep=rep1&amp;type=pdf"/>
    <hyperlink ref="E87" r:id="rId80" display="https://citeseerx.ist.psu.edu/viewdoc/download?doi=10.1.1.118.6922&amp;rep=rep1&amp;type=pdf"/>
    <hyperlink ref="E88" r:id="rId81" display="https://citeseerx.ist.psu.edu/viewdoc/download?doi=10.1.1.118.6922&amp;rep=rep1&amp;type=pdf"/>
    <hyperlink ref="E89" r:id="rId82" display="https://citeseerx.ist.psu.edu/viewdoc/download?doi=10.1.1.118.6922&amp;rep=rep1&amp;type=pdf"/>
    <hyperlink ref="E90" r:id="rId83" display="https://citeseerx.ist.psu.edu/viewdoc/download?doi=10.1.1.118.6922&amp;rep=rep1&amp;type=pdf"/>
    <hyperlink ref="E91" r:id="rId84" display="https://citeseerx.ist.psu.edu/viewdoc/download?doi=10.1.1.118.6922&amp;rep=rep1&amp;type=pdf"/>
    <hyperlink ref="E92" r:id="rId85" display="https://citeseerx.ist.psu.edu/viewdoc/download?doi=10.1.1.118.6922&amp;rep=rep1&amp;type=pdf"/>
    <hyperlink ref="E93" r:id="rId86" display="https://citeseerx.ist.psu.edu/viewdoc/download?doi=10.1.1.118.6922&amp;rep=rep1&amp;type=pdf"/>
    <hyperlink ref="E94" r:id="rId87" display="https://citeseerx.ist.psu.edu/viewdoc/download?doi=10.1.1.118.6922&amp;rep=rep1&amp;type=pdf"/>
    <hyperlink ref="E95" r:id="rId88" display="https://citeseerx.ist.psu.edu/viewdoc/download?doi=10.1.1.118.6922&amp;rep=rep1&amp;type=pdf"/>
    <hyperlink ref="E96" r:id="rId89" display="https://citeseerx.ist.psu.edu/viewdoc/download?doi=10.1.1.118.6922&amp;rep=rep1&amp;type=pdf"/>
    <hyperlink ref="E97" r:id="rId90" display="https://citeseerx.ist.psu.edu/viewdoc/download?doi=10.1.1.118.6922&amp;rep=rep1&amp;type=pdf"/>
    <hyperlink ref="E98" r:id="rId91" display="https://citeseerx.ist.psu.edu/viewdoc/download?doi=10.1.1.118.6922&amp;rep=rep1&amp;type=pdf"/>
    <hyperlink ref="E99" r:id="rId92" display="https://citeseerx.ist.psu.edu/viewdoc/download?doi=10.1.1.118.6922&amp;rep=rep1&amp;type=pdf"/>
    <hyperlink ref="E100" r:id="rId93" display="https://citeseerx.ist.psu.edu/viewdoc/download?doi=10.1.1.118.6922&amp;rep=rep1&amp;type=pdf"/>
    <hyperlink ref="E101" r:id="rId94" display="https://citeseerx.ist.psu.edu/viewdoc/download?doi=10.1.1.118.6922&amp;rep=rep1&amp;type=pdf"/>
    <hyperlink ref="E102" r:id="rId95" display="https://citeseerx.ist.psu.edu/viewdoc/download?doi=10.1.1.118.6922&amp;rep=rep1&amp;type=pdf"/>
    <hyperlink ref="E103" r:id="rId96" display="https://citeseerx.ist.psu.edu/viewdoc/download?doi=10.1.1.118.6922&amp;rep=rep1&amp;type=pdf"/>
    <hyperlink ref="E104" r:id="rId97" display="https://citeseerx.ist.psu.edu/viewdoc/download?doi=10.1.1.118.6922&amp;rep=rep1&amp;type=pdf"/>
    <hyperlink ref="E105" r:id="rId98" display="https://citeseerx.ist.psu.edu/viewdoc/download?doi=10.1.1.118.6922&amp;rep=rep1&amp;type=pdf"/>
    <hyperlink ref="E106" r:id="rId99" display="https://citeseerx.ist.psu.edu/viewdoc/download?doi=10.1.1.118.6922&amp;rep=rep1&amp;type=pdf"/>
    <hyperlink ref="E107" r:id="rId100" display="https://citeseerx.ist.psu.edu/viewdoc/download?doi=10.1.1.118.6922&amp;rep=rep1&amp;type=pdf"/>
    <hyperlink ref="E108" r:id="rId101" display="https://citeseerx.ist.psu.edu/viewdoc/download?doi=10.1.1.118.6922&amp;rep=rep1&amp;type=pdf"/>
    <hyperlink ref="E109" r:id="rId102" display="https://download.atlantis-press.com/article/25860375.pdf"/>
    <hyperlink ref="E110" r:id="rId103" display="https://download.atlantis-press.com/article/25860375.pdf"/>
    <hyperlink ref="E111" r:id="rId104" display="https://download.atlantis-press.com/article/25860375.pdf"/>
    <hyperlink ref="E112" r:id="rId105" display="https://doi.org/10.1016/j.jclepro.2011.03.004"/>
    <hyperlink ref="E113" r:id="rId106" display="https://doi.org/10.1016/j.jclepro.2011.03.005"/>
    <hyperlink ref="E114" r:id="rId107" display="https://doi.org/10.1016/j.jclepro.2011.03.006"/>
    <hyperlink ref="E115" r:id="rId108" display="https://doi.org/10.1016/j.jclepro.2011.03.007"/>
    <hyperlink ref="E116" r:id="rId109" display="https://doi.org/10.1021/es025643o"/>
    <hyperlink ref="E117" r:id="rId110" display="https://doi.org/10.1021/es025643o"/>
    <hyperlink ref="E118" r:id="rId111" display="https://doi.org/10.1021/es025643o"/>
    <hyperlink ref="E119" r:id="rId112" display="https://doi.org/10.1021/es025643o"/>
    <hyperlink ref="E120" r:id="rId113" display="https://pubs.acs.org/doi/abs/10.1021/es071174k"/>
    <hyperlink ref="E121" r:id="rId114" display="https://doi.org/10.1109/ISEE.2008.4562888"/>
    <hyperlink ref="E122" r:id="rId115" display="https://doi.org/10.1109/ISEE.2008.4562889"/>
    <hyperlink ref="E123" r:id="rId116" display="https://doi.org/10.1109/ISEE.2008.4562890"/>
    <hyperlink ref="E124" r:id="rId117" display="https://doi.org/10.1109/ISEE.2008.4562891"/>
    <hyperlink ref="E125" r:id="rId118" display="https://doi.org/10.1109/ISEE.2008.4562892"/>
    <hyperlink ref="E126" r:id="rId119" display="https://doi.org/10.1109/ISEE.2008.4562893"/>
    <hyperlink ref="E127" r:id="rId120" display="https://doi.org/10.1109/ISEE.2008.4562894"/>
    <hyperlink ref="E128" r:id="rId121" display="https://doi.org/10.1109/ISEE.2008.4562895"/>
    <hyperlink ref="E129" r:id="rId122" display="https://doi.org/10.1109/ISEE.2008.4562896"/>
    <hyperlink ref="E130" r:id="rId123" display="https://doi.org/10.1109/ISEE.2008.4562897"/>
    <hyperlink ref="E131" r:id="rId124" display="https://doi.org/10.1109/ISEE.2008.4562898"/>
    <hyperlink ref="E132" r:id="rId125" display="https://doi.org/10.1109/ISEE.2008.4562898"/>
    <hyperlink ref="E133" r:id="rId126" display="https://doi.org/10.1109/ISEE.2008.4562899"/>
    <hyperlink ref="E134" r:id="rId127" display="https://doi.org/10.1109/ISEE.2008.4562900"/>
    <hyperlink ref="E135" r:id="rId128" display="https://doi.org/10.1109/ISEE.2008.4562901"/>
    <hyperlink ref="E136" r:id="rId129" display="https://doi.org/10.1109/ISEE.2008.4562902"/>
    <hyperlink ref="E137" r:id="rId130" display="https://doi.org/10.1109/ISEE.2008.4562903"/>
    <hyperlink ref="E138" r:id="rId131" display="https://doi.org/10.1109/ISEE.2008.4562904"/>
    <hyperlink ref="E139" r:id="rId132" display="https://doi.org/10.1109/ISEE.2008.4562905"/>
    <hyperlink ref="E140" r:id="rId133" display="https://doi.org/10.1109/ISEE.2008.4562905"/>
    <hyperlink ref="E141" r:id="rId134" display="https://doi.org/10.1016/S0360-5442(03)00008-2"/>
    <hyperlink ref="E142" r:id="rId135" display="https://doi.org/10.1016/S0360-5442(03)00008-2"/>
    <hyperlink ref="E143" r:id="rId136" display="https://doi.org/10.1016/S0360-5442(03)00008-2"/>
    <hyperlink ref="E144" r:id="rId137" display="https://doi.org/10.1016/S0360-5442(03)00008-2"/>
    <hyperlink ref="E145" r:id="rId138" display="https://doi.org/10.1016/S0360-5442(03)00008-2"/>
    <hyperlink ref="E146" r:id="rId139" display="https://doi.org/10.1016/S0360-5442(03)00008-2"/>
    <hyperlink ref="E147" r:id="rId140" display="https://doi.org/10.1016/S0360-5442(03)00008-2"/>
    <hyperlink ref="E148" r:id="rId141" display="https://doi.org/10.1016/S0360-5442(03)00008-2"/>
    <hyperlink ref="E149" r:id="rId142" display="http://hdl.handle.net/1721.1/46056"/>
    <hyperlink ref="E150" r:id="rId143" display="http://hdl.handle.net/1721.1/46057"/>
    <hyperlink ref="E151" r:id="rId144" display="http://hdl.handle.net/1721.1/46058"/>
    <hyperlink ref="E152" r:id="rId145" display="http://hdl.handle.net/1721.1/46059"/>
    <hyperlink ref="E153" r:id="rId146" display="http://hdl.handle.net/1721.1/46060"/>
    <hyperlink ref="E154" r:id="rId147" display="http://hdl.handle.net/1721.1/46061"/>
    <hyperlink ref="E155" r:id="rId148" display="http://hdl.handle.net/1721.1/46062"/>
    <hyperlink ref="E156" r:id="rId149" display="https://doi.org/10.1021/es034434g"/>
    <hyperlink ref="E157" r:id="rId150" display="https://doi.org/10.1021/es034434g"/>
    <hyperlink ref="E158" r:id="rId151" display="https://doi.org/10.1021/es903297k"/>
    <hyperlink ref="E159" r:id="rId152" display="https://doi.org/10.1021/es903297k"/>
    <hyperlink ref="E160" r:id="rId153" display="https://doi.org/10.1021/es903297k"/>
    <hyperlink ref="E161" r:id="rId154" display="https://doi.org/10.1021/es903297k"/>
    <hyperlink ref="E162" r:id="rId155" display="https://doi.org/10.1021/es903297k"/>
    <hyperlink ref="E163" r:id="rId156" display="https://doi.org/10.1021/es903297k"/>
    <hyperlink ref="E164" r:id="rId157" display="https://doi.org/10.1021/es903297k"/>
    <hyperlink ref="E165" r:id="rId158" display="https://doi.org/10.1021/es903297k"/>
    <hyperlink ref="E167" r:id="rId159" display="Link"/>
    <hyperlink ref="E168" r:id="rId160" display="Link"/>
    <hyperlink ref="E169" r:id="rId161" display="Link"/>
    <hyperlink ref="E170" r:id="rId162" display="Link"/>
    <hyperlink ref="E171" r:id="rId163" display="Link"/>
    <hyperlink ref="E172" r:id="rId164" display="Link"/>
    <hyperlink ref="E173" r:id="rId165" display="Link"/>
    <hyperlink ref="E174" r:id="rId166" display="Link"/>
    <hyperlink ref="E175" r:id="rId167" display="Link"/>
    <hyperlink ref="E176" r:id="rId168" display="Link"/>
    <hyperlink ref="E178" r:id="rId169" display="Link"/>
    <hyperlink ref="E179" r:id="rId170" display="Link"/>
    <hyperlink ref="E180" r:id="rId171" display="Link"/>
    <hyperlink ref="E181" r:id="rId172" display="Link"/>
    <hyperlink ref="E182" r:id="rId173" display="Link"/>
    <hyperlink ref="E183" r:id="rId174" display="Link"/>
    <hyperlink ref="E184" r:id="rId175" display="Link"/>
    <hyperlink ref="E185" r:id="rId176" display="Link"/>
    <hyperlink ref="E186" r:id="rId177" display="Link"/>
    <hyperlink ref="E187" r:id="rId178" display="Link"/>
    <hyperlink ref="E188" r:id="rId179" display="Link"/>
    <hyperlink ref="E190" r:id="rId180" display="Link"/>
    <hyperlink ref="E191" r:id="rId181" display="Link"/>
    <hyperlink ref="E192" r:id="rId182" display="Link"/>
    <hyperlink ref="E193" r:id="rId183" display="Link"/>
    <hyperlink ref="E194" r:id="rId184" display="Link"/>
    <hyperlink ref="E195" r:id="rId185" display="Link"/>
    <hyperlink ref="E196" r:id="rId186" display="Link"/>
    <hyperlink ref="E197" r:id="rId187" display="Link"/>
    <hyperlink ref="E198" r:id="rId188" display="Link"/>
    <hyperlink ref="E199" r:id="rId189" display="Link"/>
    <hyperlink ref="E201" r:id="rId190" display="https://www.smics.com/uploads/1_&amp;e4&amp;b8&amp;ad&amp;e8&amp;8a&amp;af&amp;e5&amp;9b&amp;bd&amp;e9&amp;99&amp;85&amp;e7&amp;a4&amp;be&amp;e4&amp;bc&amp;9a&amp;e8&amp;b4&amp;a3&amp;e4&amp;bb&amp;bb&amp;e6&amp;8a&amp;a5&amp;e5&amp;91&amp;8a-&amp;e8&amp;8b&amp;b1&amp;e6&amp;96&amp;87&amp;e6&amp;8c&amp;82&amp;e7&amp;bd&amp;91&amp;e7&amp;89&amp;887.26-5.pdf"/>
    <hyperlink ref="E202" r:id="rId191" display="https://www.smics.com/uploads/2019%20SMIC%20CSR%20Report%20Final-&amp;e8&amp;8b&amp;b1&amp;e6&amp;96&amp;87.pdf"/>
    <hyperlink ref="E203" r:id="rId192" display="https://www.smics.com/uploads/2018%20CSR%20Report-EN.pdf"/>
    <hyperlink ref="E204" r:id="rId193" display="https://www.smics.com/uploads/2017%20SMIC%20CSR%20Report%20_EN.pdf"/>
    <hyperlink ref="E205" r:id="rId194" display="https://www.smics.com/uploads/2016_SMIC_CSR_Report.pdf"/>
    <hyperlink ref="E206" r:id="rId195" display="https://www.smics.com/uploads/2015_SMIC_CSR_Report.pdf"/>
    <hyperlink ref="E207" r:id="rId196" display="https://www.smics.com/uploads/2014_SMIC_CSR_Report.pdf"/>
    <hyperlink ref="E208" r:id="rId197" display="https://www.smics.com/uploads/2013_SMIC_CSR_Report.pdf"/>
    <hyperlink ref="E209" r:id="rId198" display="https://www.smics.com/uploads/2011-2012_SMIC_CSR_Report.pdf"/>
    <hyperlink ref="E210" r:id="rId199" display="https://www.smics.com/uploads/2011-2012_SMIC_CSR_Report.pdf"/>
    <hyperlink ref="E212" r:id="rId200" display="https://www.globalfoundries.com/sites/default/files/2021-01/gf_2020_csr_report.pdf"/>
    <hyperlink ref="E213" r:id="rId201" display="https://gf.com/sites/default/files/gf_crr19_0808_final_2.pdf"/>
    <hyperlink ref="E214" r:id="rId202" display="https://gf.com/sites/default/files/gf_crr18_1219a.pdf"/>
    <hyperlink ref="E215" r:id="rId203" display="https://gf.com/sites/default/files/globalfoundries-2017-csr-report-final.pdf"/>
    <hyperlink ref="E216" r:id="rId204" display="https://gf.com/sites/default/files/gf-2016-csr-report-12-21-16.pdf"/>
    <hyperlink ref="E217" r:id="rId205" display="https://gf.com/sites/default/files/gf-2016-csr-report-12-21-16.pdf"/>
    <hyperlink ref="E218" r:id="rId206" display="https://gf.com/sites/default/files/globalfoundries-corporate-responsibility-report-9-23-final.pdf"/>
    <hyperlink ref="E219" r:id="rId207" display="https://gf.com/sites/default/files/globalfoundries-corporate-responsibility-report-9-23-final.pdf"/>
    <hyperlink ref="E220" r:id="rId208" display="https://gf.com/sites/default/files/2012-corporate-responsibility-report.pdf"/>
    <hyperlink ref="E221" r:id="rId209" display="https://gf.com/sites/default/files/2012-corporate-responsibility-report.pdf"/>
    <hyperlink ref="E223" r:id="rId210" display="https://eps.ieee.org/images/files/Roadmap/ITRSESH2015.pdf "/>
    <hyperlink ref="E224" r:id="rId211" display="https://eps.ieee.org/images/files/Roadmap/ITRSESH2015.pdf "/>
    <hyperlink ref="E225" r:id="rId212" display="https://eps.ieee.org/images/files/Roadmap/ITRSESH2015.pdf "/>
    <hyperlink ref="E226" r:id="rId213" display="https://eps.ieee.org/images/files/Roadmap/ITRSESH2015.pdf "/>
    <hyperlink ref="E227" r:id="rId214" display="https://eps.ieee.org/images/files/Roadmap/ITRSESH2015.pdf "/>
    <hyperlink ref="E228" r:id="rId215" display="https://eps.ieee.org/images/files/Roadmap/ITRSESH2015.pdf "/>
    <hyperlink ref="E229" r:id="rId216" display="https://eps.ieee.org/images/files/Roadmap/ITRSESH2015.pdf "/>
    <hyperlink ref="E230" r:id="rId217" display="https://eps.ieee.org/images/files/Roadmap/ITRSESH2015.pdf "/>
    <hyperlink ref="E231" r:id="rId218" display="https://eps.ieee.org/images/files/Roadmap/ITRSESH2015.pdf "/>
    <hyperlink ref="E232" r:id="rId219" display="https://eps.ieee.org/images/files/Roadmap/ITRSESH2015.pdf "/>
    <hyperlink ref="E233" r:id="rId220" display="https://eps.ieee.org/images/files/Roadmap/ITRSESH2015.pdf "/>
    <hyperlink ref="E234" r:id="rId221" display="https://eps.ieee.org/images/files/Roadmap/ITRSESH2015.pdf "/>
    <hyperlink ref="E235" r:id="rId222" display="https://eps.ieee.org/images/files/Roadmap/ITRSESH2015.pdf "/>
    <hyperlink ref="E236" r:id="rId223" display="https://eps.ieee.org/images/files/Roadmap/ITRSESH2015.pdf "/>
    <hyperlink ref="E238" r:id="rId224" display="https://gabi.sphera.com/international/databases/gabi-databases/electronics/"/>
    <hyperlink ref="E239" r:id="rId225" display="https://gabi.sphera.com/international/databases/gabi-databases/electronics/"/>
    <hyperlink ref="E240" r:id="rId226" display="https://gabi.sphera.com/international/databases/gabi-databases/electronics/"/>
    <hyperlink ref="E241" r:id="rId227" display="https://gabi.sphera.com/international/databases/gabi-databases/electronics/"/>
    <hyperlink ref="E242" r:id="rId228" display="https://gabi.sphera.com/international/databases/gabi-databases/electronics/"/>
    <hyperlink ref="E243" r:id="rId229" display="https://gabi.sphera.com/international/databases/gabi-databases/electronics/"/>
    <hyperlink ref="E244" r:id="rId230" display="https://gabi.sphera.com/international/databases/gabi-databases/electronics/"/>
    <hyperlink ref="E245" r:id="rId231" display="https://gabi.sphera.com/international/databases/gabi-databases/electronics/"/>
    <hyperlink ref="E246" r:id="rId232" display="https://gabi.sphera.com/international/databases/gabi-databases/electronics/"/>
    <hyperlink ref="E247" r:id="rId233" display="https://gabi.sphera.com/international/databases/gabi-databases/electronics/"/>
    <hyperlink ref="E248" r:id="rId234" display="https://gabi.sphera.com/international/databases/gabi-databases/electronics/"/>
    <hyperlink ref="E249" r:id="rId235" display="https://gabi.sphera.com/international/databases/gabi-databases/electronics/"/>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AF93"/>
  <sheetViews>
    <sheetView showFormulas="false" showGridLines="true" showRowColHeaders="true" showZeros="true" rightToLeft="false" tabSelected="false" showOutlineSymbols="true" defaultGridColor="true" view="normal" topLeftCell="Q14" colorId="64" zoomScale="100" zoomScaleNormal="100" zoomScalePageLayoutView="100" workbookViewId="0">
      <selection pane="topLeft" activeCell="AE5" activeCellId="0" sqref="AE5"/>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27" min="27" style="0" width="13.88"/>
    <col collapsed="false" customWidth="true" hidden="false" outlineLevel="0" max="28" min="28" style="0" width="14.13"/>
    <col collapsed="false" customWidth="true" hidden="false" outlineLevel="0" max="29" min="29" style="0" width="13.25"/>
    <col collapsed="false" customWidth="true" hidden="false" outlineLevel="0" max="30" min="30" style="0" width="12.37"/>
    <col collapsed="false" customWidth="true" hidden="false" outlineLevel="0" max="31" min="31" style="0" width="14.75"/>
    <col collapsed="false" customWidth="true" hidden="false" outlineLevel="0" max="32" min="32" style="0" width="54"/>
    <col collapsed="false" customWidth="true" hidden="false" outlineLevel="0" max="34" min="34" style="257" width="1.26"/>
  </cols>
  <sheetData>
    <row r="2" customFormat="false" ht="15.75" hidden="false" customHeight="false" outlineLevel="0" collapsed="false">
      <c r="B2" s="92" t="s">
        <v>508</v>
      </c>
      <c r="C2" s="0" t="s">
        <v>1294</v>
      </c>
    </row>
    <row r="3" customFormat="false" ht="47.25" hidden="false" customHeight="false" outlineLevel="0" collapsed="false">
      <c r="B3" s="0" t="s">
        <v>1295</v>
      </c>
      <c r="Z3" s="74" t="s">
        <v>3</v>
      </c>
      <c r="AA3" s="74" t="s">
        <v>1296</v>
      </c>
      <c r="AB3" s="74" t="s">
        <v>1297</v>
      </c>
      <c r="AC3" s="74" t="s">
        <v>1298</v>
      </c>
      <c r="AD3" s="271" t="s">
        <v>1056</v>
      </c>
      <c r="AE3" s="271" t="s">
        <v>1057</v>
      </c>
      <c r="AF3" s="74" t="s">
        <v>7</v>
      </c>
    </row>
    <row r="5" customFormat="false" ht="15.75" hidden="false" customHeight="false" outlineLevel="0" collapsed="false">
      <c r="Z5" s="57" t="n">
        <v>1983</v>
      </c>
      <c r="AA5" s="2" t="n">
        <v>3.1</v>
      </c>
      <c r="AB5" s="0" t="n">
        <f aca="false">AA5*Parameters!$C$7*Parameters!$C$12</f>
        <v>27.9</v>
      </c>
      <c r="AC5" s="91" t="n">
        <f aca="false">AB5/'Deng data'!$I$11</f>
        <v>33.6144578313253</v>
      </c>
      <c r="AD5" s="0" t="n">
        <f aca="false">AA5*Parameters!$C$8</f>
        <v>1.4725</v>
      </c>
      <c r="AE5" s="115" t="n">
        <f aca="false">AD5/'Scopes ratios details'!$F$61</f>
        <v>2.19816844260089</v>
      </c>
    </row>
    <row r="6" customFormat="false" ht="15.75" hidden="false" customHeight="false" outlineLevel="0" collapsed="false">
      <c r="Z6" s="57" t="n">
        <v>1984</v>
      </c>
      <c r="AA6" s="2" t="n">
        <v>3.26</v>
      </c>
      <c r="AB6" s="0" t="n">
        <f aca="false">AA6*Parameters!$C$7*Parameters!$C$12</f>
        <v>29.34</v>
      </c>
      <c r="AC6" s="91" t="n">
        <f aca="false">AB6/'Deng data'!$I$11</f>
        <v>35.3493975903614</v>
      </c>
      <c r="AD6" s="0" t="n">
        <f aca="false">AA6*Parameters!$C$8</f>
        <v>1.5485</v>
      </c>
      <c r="AE6" s="115" t="n">
        <f aca="false">AD6/'Scopes ratios details'!$F$61</f>
        <v>2.31162229770288</v>
      </c>
    </row>
    <row r="7" customFormat="false" ht="15.75" hidden="false" customHeight="false" outlineLevel="0" collapsed="false">
      <c r="Z7" s="57" t="n">
        <v>1988</v>
      </c>
      <c r="AA7" s="2" t="n">
        <v>1.86</v>
      </c>
      <c r="AB7" s="0" t="n">
        <f aca="false">AA7*Parameters!$C$7*Parameters!$C$12</f>
        <v>16.74</v>
      </c>
      <c r="AC7" s="91" t="n">
        <f aca="false">AB7/'Deng data'!$I$11</f>
        <v>20.1686746987952</v>
      </c>
      <c r="AD7" s="0" t="n">
        <f aca="false">AA7*Parameters!$C$8</f>
        <v>0.8835</v>
      </c>
      <c r="AE7" s="115" t="n">
        <f aca="false">AD7/'Scopes ratios details'!$F$61</f>
        <v>1.31890106556054</v>
      </c>
    </row>
    <row r="8" customFormat="false" ht="15.75" hidden="false" customHeight="false" outlineLevel="0" collapsed="false">
      <c r="Z8" s="57" t="n">
        <v>1993</v>
      </c>
      <c r="AA8" s="2" t="n">
        <v>1.33</v>
      </c>
      <c r="AB8" s="0" t="n">
        <f aca="false">AA8*Parameters!$C$7*Parameters!$C$12</f>
        <v>11.97</v>
      </c>
      <c r="AC8" s="91" t="n">
        <f aca="false">AB8/'Deng data'!$I$11</f>
        <v>14.421686746988</v>
      </c>
      <c r="AD8" s="0" t="n">
        <f aca="false">AA8*Parameters!$C$8</f>
        <v>0.63175</v>
      </c>
      <c r="AE8" s="115" t="n">
        <f aca="false">AD8/'Scopes ratios details'!$F$61</f>
        <v>0.943085170535223</v>
      </c>
    </row>
    <row r="9" customFormat="false" ht="15.75" hidden="false" customHeight="false" outlineLevel="0" collapsed="false">
      <c r="Z9" s="57" t="n">
        <v>1993</v>
      </c>
      <c r="AA9" s="2" t="n">
        <v>1.64</v>
      </c>
      <c r="AB9" s="0" t="n">
        <f aca="false">AA9*Parameters!$C$7*Parameters!$C$12</f>
        <v>14.76</v>
      </c>
      <c r="AC9" s="91" t="n">
        <f aca="false">AB9/'Deng data'!$I$11</f>
        <v>17.7831325301205</v>
      </c>
      <c r="AD9" s="0" t="n">
        <f aca="false">AA9*Parameters!$C$8</f>
        <v>0.779</v>
      </c>
      <c r="AE9" s="115" t="n">
        <f aca="false">AD9/'Scopes ratios details'!$F$61</f>
        <v>1.16290201479531</v>
      </c>
    </row>
    <row r="10" customFormat="false" ht="15.75" hidden="false" customHeight="false" outlineLevel="0" collapsed="false">
      <c r="Z10" s="57" t="n">
        <v>1994</v>
      </c>
      <c r="AA10" s="2" t="n">
        <v>1.53</v>
      </c>
      <c r="AB10" s="0" t="n">
        <f aca="false">AA10*Parameters!$C$7*Parameters!$C$12</f>
        <v>13.77</v>
      </c>
      <c r="AC10" s="91" t="n">
        <f aca="false">AB10/'Deng data'!$I$11</f>
        <v>16.5903614457831</v>
      </c>
      <c r="AD10" s="0" t="n">
        <f aca="false">AA10*Parameters!$C$8</f>
        <v>0.72675</v>
      </c>
      <c r="AE10" s="115" t="n">
        <f aca="false">AD10/'Scopes ratios details'!$F$61</f>
        <v>1.0849024894127</v>
      </c>
    </row>
    <row r="11" customFormat="false" ht="15.75" hidden="false" customHeight="false" outlineLevel="0" collapsed="false">
      <c r="Z11" s="57" t="n">
        <v>1994</v>
      </c>
      <c r="AA11" s="2" t="n">
        <v>0.96</v>
      </c>
      <c r="AB11" s="0" t="n">
        <f aca="false">AA11*Parameters!$C$7*Parameters!$C$12</f>
        <v>8.64</v>
      </c>
      <c r="AC11" s="91" t="n">
        <f aca="false">AB11/'Deng data'!$I$11</f>
        <v>10.4096385542169</v>
      </c>
      <c r="AD11" s="0" t="n">
        <f aca="false">AA11*Parameters!$C$8</f>
        <v>0.456</v>
      </c>
      <c r="AE11" s="115" t="n">
        <f aca="false">AD11/'Scopes ratios details'!$F$61</f>
        <v>0.68072313061189</v>
      </c>
    </row>
    <row r="12" customFormat="false" ht="15.75" hidden="false" customHeight="false" outlineLevel="0" collapsed="false">
      <c r="Z12" s="57" t="n">
        <v>1995</v>
      </c>
      <c r="AA12" s="2" t="n">
        <v>1.44</v>
      </c>
      <c r="AB12" s="0" t="n">
        <f aca="false">AA12*Parameters!$C$7*Parameters!$C$12</f>
        <v>12.96</v>
      </c>
      <c r="AC12" s="91" t="n">
        <f aca="false">AB12/'Deng data'!$I$11</f>
        <v>15.6144578313253</v>
      </c>
      <c r="AD12" s="0" t="n">
        <f aca="false">AA12*Parameters!$C$8</f>
        <v>0.684</v>
      </c>
      <c r="AE12" s="115" t="n">
        <f aca="false">AD12/'Scopes ratios details'!$F$61</f>
        <v>1.02108469591784</v>
      </c>
    </row>
    <row r="13" customFormat="false" ht="15.75" hidden="false" customHeight="false" outlineLevel="0" collapsed="false">
      <c r="Z13" s="57" t="n">
        <v>1995</v>
      </c>
      <c r="AA13" s="2" t="n">
        <v>1.41</v>
      </c>
      <c r="AB13" s="0" t="n">
        <f aca="false">AA13*Parameters!$C$7*Parameters!$C$12</f>
        <v>12.69</v>
      </c>
      <c r="AC13" s="91" t="n">
        <f aca="false">AB13/'Deng data'!$I$11</f>
        <v>15.289156626506</v>
      </c>
      <c r="AD13" s="0" t="n">
        <f aca="false">AA13*Parameters!$C$8</f>
        <v>0.66975</v>
      </c>
      <c r="AE13" s="115" t="n">
        <f aca="false">AD13/'Scopes ratios details'!$F$61</f>
        <v>0.999812098086214</v>
      </c>
    </row>
    <row r="14" customFormat="false" ht="15.75" hidden="false" customHeight="false" outlineLevel="0" collapsed="false">
      <c r="Z14" s="57" t="n">
        <v>1997</v>
      </c>
      <c r="AA14" s="2" t="n">
        <v>0.51</v>
      </c>
      <c r="AB14" s="0" t="n">
        <f aca="false">AA14*Parameters!$C$7*Parameters!$C$12</f>
        <v>4.59</v>
      </c>
      <c r="AC14" s="91" t="n">
        <f aca="false">AB14/'Deng data'!$I$11</f>
        <v>5.53012048192771</v>
      </c>
      <c r="AD14" s="0" t="n">
        <f aca="false">AA14*Parameters!$C$8</f>
        <v>0.24225</v>
      </c>
      <c r="AE14" s="115" t="n">
        <f aca="false">AD14/'Scopes ratios details'!$F$61</f>
        <v>0.361634163137567</v>
      </c>
    </row>
    <row r="15" customFormat="false" ht="15.75" hidden="false" customHeight="false" outlineLevel="0" collapsed="false">
      <c r="Z15" s="57" t="n">
        <v>1997</v>
      </c>
      <c r="AA15" s="2" t="n">
        <v>0.9</v>
      </c>
      <c r="AB15" s="0" t="n">
        <f aca="false">AA15*Parameters!$C$7*Parameters!$C$12</f>
        <v>8.1</v>
      </c>
      <c r="AC15" s="91" t="n">
        <f aca="false">AB15/'Deng data'!$I$11</f>
        <v>9.75903614457831</v>
      </c>
      <c r="AD15" s="0" t="n">
        <f aca="false">AA15*Parameters!$C$8</f>
        <v>0.4275</v>
      </c>
      <c r="AE15" s="115" t="n">
        <f aca="false">AD15/'Scopes ratios details'!$F$61</f>
        <v>0.638177934948647</v>
      </c>
    </row>
    <row r="16" customFormat="false" ht="15.75" hidden="false" customHeight="false" outlineLevel="0" collapsed="false">
      <c r="Z16" s="57" t="n">
        <v>1997</v>
      </c>
      <c r="AA16" s="2" t="n">
        <v>1.4</v>
      </c>
      <c r="AB16" s="0" t="n">
        <f aca="false">AA16*Parameters!$C$7*Parameters!$C$12</f>
        <v>12.6</v>
      </c>
      <c r="AC16" s="91" t="n">
        <f aca="false">AB16/'Deng data'!$I$11</f>
        <v>15.1807228915663</v>
      </c>
      <c r="AD16" s="0" t="n">
        <f aca="false">AA16*Parameters!$C$8</f>
        <v>0.665</v>
      </c>
      <c r="AE16" s="115" t="n">
        <f aca="false">AD16/'Scopes ratios details'!$F$61</f>
        <v>0.99272123214234</v>
      </c>
    </row>
    <row r="17" customFormat="false" ht="15.75" hidden="false" customHeight="false" outlineLevel="0" collapsed="false">
      <c r="Z17" s="57" t="n">
        <v>1997</v>
      </c>
      <c r="AA17" s="2" t="n">
        <v>1.77</v>
      </c>
      <c r="AB17" s="0" t="n">
        <f aca="false">AA17*Parameters!$C$7*Parameters!$C$12</f>
        <v>15.93</v>
      </c>
      <c r="AC17" s="91" t="n">
        <f aca="false">AB17/'Deng data'!$I$11</f>
        <v>19.1927710843373</v>
      </c>
      <c r="AD17" s="0" t="n">
        <f aca="false">AA17*Parameters!$C$8</f>
        <v>0.84075</v>
      </c>
      <c r="AE17" s="115" t="n">
        <f aca="false">AD17/'Scopes ratios details'!$F$61</f>
        <v>1.25508327206567</v>
      </c>
    </row>
    <row r="18" customFormat="false" ht="15.75" hidden="false" customHeight="false" outlineLevel="0" collapsed="false">
      <c r="Z18" s="57" t="n">
        <v>1997</v>
      </c>
      <c r="AA18" s="2" t="n">
        <v>0.8</v>
      </c>
      <c r="AB18" s="0" t="n">
        <f aca="false">AA18*Parameters!$C$7*Parameters!$C$12</f>
        <v>7.2</v>
      </c>
      <c r="AC18" s="91" t="n">
        <f aca="false">AB18/'Deng data'!$I$11</f>
        <v>8.67469879518072</v>
      </c>
      <c r="AD18" s="0" t="n">
        <f aca="false">AA18*Parameters!$C$8</f>
        <v>0.38</v>
      </c>
      <c r="AE18" s="115" t="n">
        <f aca="false">AD18/'Scopes ratios details'!$F$61</f>
        <v>0.567269275509908</v>
      </c>
    </row>
    <row r="19" customFormat="false" ht="15.75" hidden="false" customHeight="false" outlineLevel="0" collapsed="false">
      <c r="Z19" s="57" t="n">
        <v>1997</v>
      </c>
      <c r="AA19" s="2" t="n">
        <v>1.6</v>
      </c>
      <c r="AB19" s="0" t="n">
        <f aca="false">AA19*Parameters!$C$7*Parameters!$C$12</f>
        <v>14.4</v>
      </c>
      <c r="AC19" s="91" t="n">
        <f aca="false">AB19/'Deng data'!$I$11</f>
        <v>17.3493975903614</v>
      </c>
      <c r="AD19" s="0" t="n">
        <f aca="false">AA19*Parameters!$C$8</f>
        <v>0.76</v>
      </c>
      <c r="AE19" s="115" t="n">
        <f aca="false">AD19/'Scopes ratios details'!$F$61</f>
        <v>1.13453855101982</v>
      </c>
    </row>
    <row r="20" customFormat="false" ht="15.75" hidden="false" customHeight="false" outlineLevel="0" collapsed="false">
      <c r="Z20" s="57" t="n">
        <v>1998</v>
      </c>
      <c r="AA20" s="2" t="n">
        <v>1.15</v>
      </c>
      <c r="AB20" s="0" t="n">
        <f aca="false">AA20*Parameters!$C$7*Parameters!$C$12</f>
        <v>10.35</v>
      </c>
      <c r="AC20" s="91" t="n">
        <f aca="false">AB20/'Deng data'!$I$11</f>
        <v>12.4698795180723</v>
      </c>
      <c r="AD20" s="0" t="n">
        <f aca="false">AA20*Parameters!$C$8</f>
        <v>0.54625</v>
      </c>
      <c r="AE20" s="115" t="n">
        <f aca="false">AD20/'Scopes ratios details'!$F$61</f>
        <v>0.815449583545493</v>
      </c>
    </row>
    <row r="21" customFormat="false" ht="15.75" hidden="false" customHeight="false" outlineLevel="0" collapsed="false">
      <c r="Z21" s="57" t="n">
        <v>1998</v>
      </c>
      <c r="AA21" s="2" t="n">
        <v>1.56</v>
      </c>
      <c r="AB21" s="0" t="n">
        <f aca="false">AA21*Parameters!$C$7*Parameters!$C$12</f>
        <v>14.04</v>
      </c>
      <c r="AC21" s="91" t="n">
        <f aca="false">AB21/'Deng data'!$I$11</f>
        <v>16.9156626506024</v>
      </c>
      <c r="AD21" s="0" t="n">
        <f aca="false">AA21*Parameters!$C$8</f>
        <v>0.741</v>
      </c>
      <c r="AE21" s="115" t="n">
        <f aca="false">AD21/'Scopes ratios details'!$F$61</f>
        <v>1.10617508724432</v>
      </c>
    </row>
    <row r="22" customFormat="false" ht="15.75" hidden="false" customHeight="false" outlineLevel="0" collapsed="false">
      <c r="Z22" s="57" t="n">
        <v>1996</v>
      </c>
      <c r="AA22" s="2" t="n">
        <v>1.52</v>
      </c>
      <c r="AB22" s="0" t="n">
        <f aca="false">AA22*Parameters!$C$7*Parameters!$C$12</f>
        <v>13.68</v>
      </c>
      <c r="AC22" s="91" t="n">
        <f aca="false">AB22/'Deng data'!$I$11</f>
        <v>16.4819277108434</v>
      </c>
      <c r="AD22" s="0" t="n">
        <f aca="false">AA22*Parameters!$C$8</f>
        <v>0.722</v>
      </c>
      <c r="AE22" s="115" t="n">
        <f aca="false">AD22/'Scopes ratios details'!$F$61</f>
        <v>1.07781162346883</v>
      </c>
    </row>
    <row r="23" customFormat="false" ht="15.75" hidden="false" customHeight="false" outlineLevel="0" collapsed="false">
      <c r="Z23" s="57" t="n">
        <v>1999</v>
      </c>
      <c r="AA23" s="2" t="n">
        <v>1.35</v>
      </c>
      <c r="AB23" s="0" t="n">
        <f aca="false">AA23*Parameters!$C$7*Parameters!$C$12</f>
        <v>12.15</v>
      </c>
      <c r="AC23" s="91" t="n">
        <f aca="false">AB23/'Deng data'!$I$11</f>
        <v>14.6385542168675</v>
      </c>
      <c r="AD23" s="0" t="n">
        <f aca="false">AA23*Parameters!$C$8</f>
        <v>0.64125</v>
      </c>
      <c r="AE23" s="115" t="n">
        <f aca="false">AD23/'Scopes ratios details'!$F$61</f>
        <v>0.95726690242297</v>
      </c>
    </row>
    <row r="24" customFormat="false" ht="15.75" hidden="false" customHeight="false" outlineLevel="0" collapsed="false">
      <c r="Z24" s="57" t="n">
        <v>2000</v>
      </c>
      <c r="AA24" s="2" t="n">
        <v>1.23</v>
      </c>
      <c r="AB24" s="0" t="n">
        <f aca="false">AA24*Parameters!$C$7*Parameters!$C$12</f>
        <v>11.07</v>
      </c>
      <c r="AC24" s="91" t="n">
        <f aca="false">AB24/'Deng data'!$I$11</f>
        <v>13.3373493975904</v>
      </c>
      <c r="AD24" s="0" t="n">
        <f aca="false">AA24*Parameters!$C$8</f>
        <v>0.58425</v>
      </c>
      <c r="AE24" s="115" t="n">
        <f aca="false">AD24/'Scopes ratios details'!$F$61</f>
        <v>0.872176511096484</v>
      </c>
    </row>
    <row r="25" customFormat="false" ht="15.75" hidden="false" customHeight="false" outlineLevel="0" collapsed="false">
      <c r="Z25" s="57" t="n">
        <v>2000</v>
      </c>
      <c r="AA25" s="2" t="n">
        <v>1.19</v>
      </c>
      <c r="AB25" s="0" t="n">
        <f aca="false">AA25*Parameters!$C$7*Parameters!$C$12</f>
        <v>10.71</v>
      </c>
      <c r="AC25" s="91" t="n">
        <f aca="false">AB25/'Deng data'!$I$11</f>
        <v>12.9036144578313</v>
      </c>
      <c r="AD25" s="0" t="n">
        <f aca="false">AA25*Parameters!$C$8</f>
        <v>0.56525</v>
      </c>
      <c r="AE25" s="115" t="n">
        <f aca="false">AD25/'Scopes ratios details'!$F$61</f>
        <v>0.843813047320989</v>
      </c>
    </row>
    <row r="26" customFormat="false" ht="15.75" hidden="false" customHeight="false" outlineLevel="0" collapsed="false">
      <c r="Z26" s="57" t="n">
        <v>2001</v>
      </c>
      <c r="AA26" s="2" t="n">
        <v>1.98</v>
      </c>
      <c r="AB26" s="0" t="n">
        <f aca="false">AA26*Parameters!$C$7*Parameters!$C$12</f>
        <v>17.82</v>
      </c>
      <c r="AC26" s="91" t="n">
        <f aca="false">AB26/'Deng data'!$I$11</f>
        <v>21.4698795180723</v>
      </c>
      <c r="AD26" s="0" t="n">
        <f aca="false">AA26*Parameters!$C$8</f>
        <v>0.9405</v>
      </c>
      <c r="AE26" s="115" t="n">
        <f aca="false">AD26/'Scopes ratios details'!$F$61</f>
        <v>1.40399145688702</v>
      </c>
    </row>
    <row r="27" customFormat="false" ht="15.75" hidden="false" customHeight="true" outlineLevel="0" collapsed="false">
      <c r="C27" s="107" t="s">
        <v>1299</v>
      </c>
      <c r="D27" s="107"/>
      <c r="E27" s="107"/>
      <c r="F27" s="107"/>
      <c r="G27" s="107"/>
      <c r="H27" s="107"/>
      <c r="I27" s="107"/>
      <c r="J27" s="107"/>
      <c r="K27" s="107"/>
      <c r="L27" s="107"/>
      <c r="M27" s="107"/>
      <c r="N27" s="107"/>
      <c r="Z27" s="57" t="n">
        <v>2002</v>
      </c>
      <c r="AA27" s="2" t="n">
        <v>0.5</v>
      </c>
      <c r="AB27" s="0" t="n">
        <f aca="false">AA27*Parameters!$C$7*Parameters!$C$12</f>
        <v>4.5</v>
      </c>
      <c r="AC27" s="91" t="n">
        <f aca="false">AB27/'Deng data'!$I$11</f>
        <v>5.42168674698795</v>
      </c>
      <c r="AD27" s="0" t="n">
        <f aca="false">AA27*Parameters!$C$8</f>
        <v>0.2375</v>
      </c>
      <c r="AE27" s="115" t="n">
        <f aca="false">AD27/'Scopes ratios details'!$F$61</f>
        <v>0.354543297193693</v>
      </c>
    </row>
    <row r="28" customFormat="false" ht="15.75" hidden="false" customHeight="false" outlineLevel="0" collapsed="false">
      <c r="C28" s="107"/>
      <c r="D28" s="107"/>
      <c r="E28" s="107"/>
      <c r="F28" s="107"/>
      <c r="G28" s="107"/>
      <c r="H28" s="107"/>
      <c r="I28" s="107"/>
      <c r="J28" s="107"/>
      <c r="K28" s="107"/>
      <c r="L28" s="107"/>
      <c r="M28" s="107"/>
      <c r="N28" s="107"/>
      <c r="Z28" s="57" t="n">
        <v>2002</v>
      </c>
      <c r="AA28" s="2" t="n">
        <v>0.7</v>
      </c>
      <c r="AB28" s="0" t="n">
        <f aca="false">AA28*Parameters!$C$7*Parameters!$C$12</f>
        <v>6.3</v>
      </c>
      <c r="AC28" s="91" t="n">
        <f aca="false">AB28/'Deng data'!$I$11</f>
        <v>7.59036144578313</v>
      </c>
      <c r="AD28" s="0" t="n">
        <f aca="false">AA28*Parameters!$C$8</f>
        <v>0.3325</v>
      </c>
      <c r="AE28" s="115" t="n">
        <f aca="false">AD28/'Scopes ratios details'!$F$61</f>
        <v>0.49636061607117</v>
      </c>
    </row>
    <row r="29" customFormat="false" ht="15.75" hidden="false" customHeight="false" outlineLevel="0" collapsed="false">
      <c r="C29" s="107"/>
      <c r="D29" s="107"/>
      <c r="E29" s="107"/>
      <c r="F29" s="107"/>
      <c r="G29" s="107"/>
      <c r="H29" s="107"/>
      <c r="I29" s="107"/>
      <c r="J29" s="107"/>
      <c r="K29" s="107"/>
      <c r="L29" s="107"/>
      <c r="M29" s="107"/>
      <c r="N29" s="107"/>
      <c r="Z29" s="57" t="n">
        <v>2002</v>
      </c>
      <c r="AA29" s="2" t="n">
        <v>1.84</v>
      </c>
      <c r="AB29" s="0" t="n">
        <f aca="false">AA29*Parameters!$C$7*Parameters!$C$12</f>
        <v>16.56</v>
      </c>
      <c r="AC29" s="91" t="n">
        <f aca="false">AB29/'Deng data'!$I$11</f>
        <v>19.9518072289157</v>
      </c>
      <c r="AD29" s="0" t="n">
        <f aca="false">AA29*Parameters!$C$8</f>
        <v>0.874</v>
      </c>
      <c r="AE29" s="115" t="n">
        <f aca="false">AD29/'Scopes ratios details'!$F$61</f>
        <v>1.30471933367279</v>
      </c>
    </row>
    <row r="30" customFormat="false" ht="15.75" hidden="false" customHeight="false" outlineLevel="0" collapsed="false">
      <c r="C30" s="107"/>
      <c r="D30" s="107"/>
      <c r="E30" s="107"/>
      <c r="F30" s="107"/>
      <c r="G30" s="107"/>
      <c r="H30" s="107"/>
      <c r="I30" s="107"/>
      <c r="J30" s="107"/>
      <c r="K30" s="107"/>
      <c r="L30" s="107"/>
      <c r="M30" s="107"/>
      <c r="N30" s="107"/>
      <c r="Z30" s="57" t="n">
        <v>2002</v>
      </c>
      <c r="AA30" s="2" t="n">
        <v>5.07</v>
      </c>
      <c r="AB30" s="0" t="n">
        <f aca="false">AA30*Parameters!$C$7*Parameters!$C$12</f>
        <v>45.63</v>
      </c>
      <c r="AC30" s="91" t="n">
        <f aca="false">AB30/'Deng data'!$I$11</f>
        <v>54.9759036144578</v>
      </c>
      <c r="AD30" s="0" t="n">
        <f aca="false">AA30*Parameters!$C$8</f>
        <v>2.40825</v>
      </c>
      <c r="AE30" s="115" t="n">
        <f aca="false">AD30/'Scopes ratios details'!$F$61</f>
        <v>3.59506903354404</v>
      </c>
      <c r="AF30" s="108" t="s">
        <v>1300</v>
      </c>
    </row>
    <row r="31" customFormat="false" ht="15.75" hidden="false" customHeight="false" outlineLevel="0" collapsed="false">
      <c r="C31" s="107"/>
      <c r="D31" s="107"/>
      <c r="E31" s="107"/>
      <c r="F31" s="107"/>
      <c r="G31" s="107"/>
      <c r="H31" s="107"/>
      <c r="I31" s="107"/>
      <c r="J31" s="107"/>
      <c r="K31" s="107"/>
      <c r="L31" s="107"/>
      <c r="M31" s="107"/>
      <c r="N31" s="107"/>
      <c r="Z31" s="57" t="n">
        <v>2002</v>
      </c>
      <c r="AA31" s="2" t="n">
        <v>3.42</v>
      </c>
      <c r="AB31" s="0" t="n">
        <f aca="false">AA31*Parameters!$C$7*Parameters!$C$12</f>
        <v>30.78</v>
      </c>
      <c r="AC31" s="91" t="n">
        <f aca="false">AB31/'Deng data'!$I$11</f>
        <v>37.0843373493976</v>
      </c>
      <c r="AD31" s="0" t="n">
        <f aca="false">AA31*Parameters!$C$8</f>
        <v>1.6245</v>
      </c>
      <c r="AE31" s="115" t="n">
        <f aca="false">AD31/'Scopes ratios details'!$F$61</f>
        <v>2.42507615280486</v>
      </c>
    </row>
    <row r="32" customFormat="false" ht="15.75" hidden="false" customHeight="false" outlineLevel="0" collapsed="false">
      <c r="C32" s="107"/>
      <c r="D32" s="107"/>
      <c r="E32" s="107"/>
      <c r="F32" s="107"/>
      <c r="G32" s="107"/>
      <c r="H32" s="107"/>
      <c r="I32" s="107"/>
      <c r="J32" s="107"/>
      <c r="K32" s="107"/>
      <c r="L32" s="107"/>
      <c r="M32" s="107"/>
      <c r="N32" s="107"/>
      <c r="Z32" s="57" t="n">
        <v>2003</v>
      </c>
      <c r="AA32" s="2" t="n">
        <v>5.17</v>
      </c>
      <c r="AB32" s="0" t="n">
        <f aca="false">AA32*Parameters!$C$7*Parameters!$C$12</f>
        <v>46.53</v>
      </c>
      <c r="AC32" s="91" t="n">
        <f aca="false">AB32/'Deng data'!$I$11</f>
        <v>56.0602409638554</v>
      </c>
      <c r="AD32" s="0" t="n">
        <f aca="false">AA32*Parameters!$C$8</f>
        <v>2.45575</v>
      </c>
      <c r="AE32" s="115" t="n">
        <f aca="false">AD32/'Scopes ratios details'!$F$61</f>
        <v>3.66597769298278</v>
      </c>
      <c r="AF32" s="108" t="s">
        <v>1300</v>
      </c>
    </row>
    <row r="33" customFormat="false" ht="15.75" hidden="false" customHeight="false" outlineLevel="0" collapsed="false">
      <c r="C33" s="107"/>
      <c r="D33" s="107"/>
      <c r="E33" s="107"/>
      <c r="F33" s="107"/>
      <c r="G33" s="107"/>
      <c r="H33" s="107"/>
      <c r="I33" s="107"/>
      <c r="J33" s="107"/>
      <c r="K33" s="107"/>
      <c r="L33" s="107"/>
      <c r="M33" s="107"/>
      <c r="N33" s="107"/>
      <c r="Z33" s="57" t="n">
        <v>2003</v>
      </c>
      <c r="AA33" s="2" t="n">
        <v>1.79</v>
      </c>
      <c r="AB33" s="0" t="n">
        <f aca="false">AA33*Parameters!$C$7*Parameters!$C$12</f>
        <v>16.11</v>
      </c>
      <c r="AC33" s="91" t="n">
        <f aca="false">AB33/'Deng data'!$I$11</f>
        <v>19.4096385542169</v>
      </c>
      <c r="AD33" s="0" t="n">
        <f aca="false">AA33*Parameters!$C$8</f>
        <v>0.85025</v>
      </c>
      <c r="AE33" s="115" t="n">
        <f aca="false">AD33/'Scopes ratios details'!$F$61</f>
        <v>1.26926500395342</v>
      </c>
    </row>
    <row r="34" customFormat="false" ht="15.75" hidden="false" customHeight="false" outlineLevel="0" collapsed="false">
      <c r="Z34" s="57" t="n">
        <v>2005</v>
      </c>
      <c r="AA34" s="2" t="n">
        <v>0.4</v>
      </c>
      <c r="AB34" s="0" t="n">
        <f aca="false">AA34*Parameters!$C$7*Parameters!$C$12</f>
        <v>3.6</v>
      </c>
      <c r="AC34" s="91" t="n">
        <f aca="false">AB34/'Deng data'!$I$11</f>
        <v>4.33734939759036</v>
      </c>
      <c r="AD34" s="0" t="n">
        <f aca="false">AA34*Parameters!$C$8</f>
        <v>0.19</v>
      </c>
      <c r="AF34" s="108" t="s">
        <v>1301</v>
      </c>
    </row>
    <row r="35" customFormat="false" ht="15.75" hidden="false" customHeight="false" outlineLevel="0" collapsed="false">
      <c r="Z35" s="57" t="n">
        <v>2005</v>
      </c>
      <c r="AA35" s="2" t="n">
        <v>0.5</v>
      </c>
      <c r="AB35" s="0" t="n">
        <f aca="false">AA35*Parameters!$C$7*Parameters!$C$12</f>
        <v>4.5</v>
      </c>
      <c r="AC35" s="91" t="n">
        <f aca="false">AB35/'Deng data'!$I$11</f>
        <v>5.42168674698795</v>
      </c>
      <c r="AD35" s="0" t="n">
        <f aca="false">AA35*Parameters!$C$8</f>
        <v>0.2375</v>
      </c>
      <c r="AF35" s="108" t="s">
        <v>1301</v>
      </c>
    </row>
    <row r="36" customFormat="false" ht="15.75" hidden="false" customHeight="false" outlineLevel="0" collapsed="false">
      <c r="Z36" s="57" t="n">
        <v>2008</v>
      </c>
      <c r="AA36" s="2" t="n">
        <v>0.3</v>
      </c>
      <c r="AB36" s="0" t="n">
        <f aca="false">AA36*Parameters!$C$7*Parameters!$C$12</f>
        <v>2.7</v>
      </c>
      <c r="AC36" s="91" t="n">
        <f aca="false">AB36/'Deng data'!$I$11</f>
        <v>3.25301204819277</v>
      </c>
      <c r="AD36" s="0" t="n">
        <f aca="false">AA36*Parameters!$C$8</f>
        <v>0.1425</v>
      </c>
      <c r="AF36" s="108" t="s">
        <v>1301</v>
      </c>
    </row>
    <row r="37" customFormat="false" ht="15.75" hidden="false" customHeight="false" outlineLevel="0" collapsed="false">
      <c r="Z37" s="57" t="n">
        <v>2008</v>
      </c>
      <c r="AA37" s="2" t="n">
        <v>0.4</v>
      </c>
      <c r="AB37" s="0" t="n">
        <f aca="false">AA37*Parameters!$C$7*Parameters!$C$12</f>
        <v>3.6</v>
      </c>
      <c r="AC37" s="91" t="n">
        <f aca="false">AB37/'Deng data'!$I$11</f>
        <v>4.33734939759036</v>
      </c>
      <c r="AD37" s="0" t="n">
        <f aca="false">AA37*Parameters!$C$8</f>
        <v>0.19</v>
      </c>
      <c r="AF37" s="108" t="s">
        <v>1301</v>
      </c>
    </row>
    <row r="38" customFormat="false" ht="15.75" hidden="false" customHeight="false" outlineLevel="0" collapsed="false">
      <c r="Z38" s="57" t="n">
        <v>2012</v>
      </c>
      <c r="AA38" s="2" t="n">
        <v>0.62</v>
      </c>
      <c r="AB38" s="0" t="n">
        <f aca="false">AA38*Parameters!$C$7*Parameters!$C$12</f>
        <v>5.58</v>
      </c>
      <c r="AC38" s="91" t="n">
        <f aca="false">AB38/'Deng data'!$I$11</f>
        <v>6.72289156626506</v>
      </c>
      <c r="AD38" s="0" t="n">
        <f aca="false">AA38*Parameters!$C$8</f>
        <v>0.2945</v>
      </c>
      <c r="AF38" s="108" t="s">
        <v>1301</v>
      </c>
    </row>
    <row r="41" customFormat="false" ht="47.25" hidden="false" customHeight="false" outlineLevel="0" collapsed="false">
      <c r="Z41" s="74" t="s">
        <v>3</v>
      </c>
      <c r="AA41" s="74" t="s">
        <v>1302</v>
      </c>
      <c r="AB41" s="111"/>
      <c r="AC41" s="111"/>
      <c r="AD41" s="111"/>
      <c r="AE41" s="111"/>
      <c r="AF41" s="74" t="s">
        <v>7</v>
      </c>
    </row>
    <row r="43" customFormat="false" ht="15.75" hidden="false" customHeight="false" outlineLevel="0" collapsed="false">
      <c r="Z43" s="57" t="n">
        <v>1993</v>
      </c>
      <c r="AA43" s="2" t="n">
        <v>25.9</v>
      </c>
    </row>
    <row r="44" customFormat="false" ht="15.75" hidden="false" customHeight="false" outlineLevel="0" collapsed="false">
      <c r="Z44" s="57" t="n">
        <v>1996</v>
      </c>
      <c r="AA44" s="2" t="n">
        <v>6.2</v>
      </c>
    </row>
    <row r="45" customFormat="false" ht="15.75" hidden="false" customHeight="false" outlineLevel="0" collapsed="false">
      <c r="Z45" s="57" t="n">
        <v>1996</v>
      </c>
      <c r="AA45" s="2" t="n">
        <v>27.9</v>
      </c>
    </row>
    <row r="46" customFormat="false" ht="15.75" hidden="false" customHeight="false" outlineLevel="0" collapsed="false">
      <c r="Z46" s="57" t="n">
        <v>1996</v>
      </c>
      <c r="AA46" s="2" t="n">
        <v>18.6</v>
      </c>
    </row>
    <row r="47" customFormat="false" ht="15.75" hidden="false" customHeight="false" outlineLevel="0" collapsed="false">
      <c r="Z47" s="57" t="n">
        <v>1997</v>
      </c>
      <c r="AA47" s="2" t="n">
        <v>5</v>
      </c>
    </row>
    <row r="48" customFormat="false" ht="15.75" hidden="false" customHeight="false" outlineLevel="0" collapsed="false">
      <c r="Z48" s="57" t="n">
        <v>1997</v>
      </c>
      <c r="AA48" s="2" t="n">
        <v>29</v>
      </c>
    </row>
    <row r="49" customFormat="false" ht="15.75" hidden="false" customHeight="false" outlineLevel="0" collapsed="false">
      <c r="Z49" s="57" t="n">
        <v>1997</v>
      </c>
      <c r="AA49" s="2" t="n">
        <v>12.9</v>
      </c>
    </row>
    <row r="50" customFormat="false" ht="15.75" hidden="false" customHeight="false" outlineLevel="0" collapsed="false">
      <c r="Z50" s="57" t="n">
        <v>1997</v>
      </c>
      <c r="AA50" s="2" t="n">
        <v>17.6</v>
      </c>
    </row>
    <row r="51" customFormat="false" ht="15.75" hidden="false" customHeight="false" outlineLevel="0" collapsed="false">
      <c r="Z51" s="57" t="n">
        <v>1997</v>
      </c>
      <c r="AA51" s="2" t="n">
        <v>17</v>
      </c>
    </row>
    <row r="52" customFormat="false" ht="15.75" hidden="false" customHeight="false" outlineLevel="0" collapsed="false">
      <c r="Z52" s="57" t="n">
        <v>1997</v>
      </c>
      <c r="AA52" s="2" t="n">
        <v>18</v>
      </c>
    </row>
    <row r="53" customFormat="false" ht="15.75" hidden="false" customHeight="false" outlineLevel="0" collapsed="false">
      <c r="Z53" s="57" t="n">
        <v>1998</v>
      </c>
      <c r="AA53" s="2" t="n">
        <v>19.9</v>
      </c>
    </row>
    <row r="54" customFormat="false" ht="15.75" hidden="false" customHeight="false" outlineLevel="0" collapsed="false">
      <c r="Z54" s="57" t="n">
        <v>1998</v>
      </c>
      <c r="AA54" s="2" t="n">
        <v>5.9</v>
      </c>
    </row>
    <row r="55" customFormat="false" ht="15.75" hidden="false" customHeight="false" outlineLevel="0" collapsed="false">
      <c r="Z55" s="57" t="n">
        <v>1998</v>
      </c>
      <c r="AA55" s="2" t="n">
        <v>14.7</v>
      </c>
    </row>
    <row r="56" customFormat="false" ht="15.75" hidden="false" customHeight="false" outlineLevel="0" collapsed="false">
      <c r="Z56" s="57" t="n">
        <v>1998</v>
      </c>
      <c r="AA56" s="2" t="n">
        <v>20.5</v>
      </c>
    </row>
    <row r="57" customFormat="false" ht="15.75" hidden="false" customHeight="false" outlineLevel="0" collapsed="false">
      <c r="Z57" s="57" t="n">
        <v>1998</v>
      </c>
      <c r="AA57" s="2" t="n">
        <v>5.9</v>
      </c>
    </row>
    <row r="58" customFormat="false" ht="15.75" hidden="false" customHeight="false" outlineLevel="0" collapsed="false">
      <c r="Z58" s="57" t="n">
        <v>1998</v>
      </c>
      <c r="AA58" s="2" t="n">
        <v>8.8</v>
      </c>
    </row>
    <row r="59" customFormat="false" ht="15.75" hidden="false" customHeight="false" outlineLevel="0" collapsed="false">
      <c r="Z59" s="57" t="n">
        <v>1998</v>
      </c>
      <c r="AA59" s="2" t="n">
        <v>12.9</v>
      </c>
    </row>
    <row r="60" customFormat="false" ht="15.75" hidden="false" customHeight="false" outlineLevel="0" collapsed="false">
      <c r="Z60" s="57" t="n">
        <v>1998</v>
      </c>
      <c r="AA60" s="2" t="n">
        <v>20.5</v>
      </c>
    </row>
    <row r="61" customFormat="false" ht="15.75" hidden="false" customHeight="false" outlineLevel="0" collapsed="false">
      <c r="Z61" s="57" t="n">
        <v>1998</v>
      </c>
      <c r="AA61" s="2" t="n">
        <v>21.1</v>
      </c>
    </row>
    <row r="62" customFormat="false" ht="15.75" hidden="false" customHeight="false" outlineLevel="0" collapsed="false">
      <c r="Z62" s="57" t="n">
        <v>1998</v>
      </c>
      <c r="AA62" s="2" t="n">
        <v>29.3</v>
      </c>
    </row>
    <row r="63" customFormat="false" ht="15.75" hidden="false" customHeight="false" outlineLevel="0" collapsed="false">
      <c r="Z63" s="57" t="n">
        <v>1998</v>
      </c>
      <c r="AA63" s="2" t="n">
        <v>11.7</v>
      </c>
    </row>
    <row r="64" customFormat="false" ht="15.75" hidden="false" customHeight="false" outlineLevel="0" collapsed="false">
      <c r="Z64" s="57" t="n">
        <v>1998</v>
      </c>
      <c r="AA64" s="2" t="n">
        <v>12.3</v>
      </c>
    </row>
    <row r="65" customFormat="false" ht="15.75" hidden="false" customHeight="false" outlineLevel="0" collapsed="false">
      <c r="Z65" s="57" t="n">
        <v>1998</v>
      </c>
      <c r="AA65" s="2" t="n">
        <v>13.5</v>
      </c>
    </row>
    <row r="66" customFormat="false" ht="15.75" hidden="false" customHeight="false" outlineLevel="0" collapsed="false">
      <c r="Z66" s="57" t="n">
        <v>1998</v>
      </c>
      <c r="AA66" s="2" t="n">
        <v>15.3</v>
      </c>
    </row>
    <row r="67" customFormat="false" ht="15.75" hidden="false" customHeight="false" outlineLevel="0" collapsed="false">
      <c r="Z67" s="57" t="n">
        <v>1998</v>
      </c>
      <c r="AA67" s="2" t="n">
        <v>23.5</v>
      </c>
    </row>
    <row r="68" customFormat="false" ht="15.75" hidden="false" customHeight="false" outlineLevel="0" collapsed="false">
      <c r="Z68" s="57" t="n">
        <v>1998</v>
      </c>
      <c r="AA68" s="2" t="n">
        <v>23.5</v>
      </c>
    </row>
    <row r="69" customFormat="false" ht="15.75" hidden="false" customHeight="false" outlineLevel="0" collapsed="false">
      <c r="Z69" s="57" t="n">
        <v>1999</v>
      </c>
      <c r="AA69" s="2" t="n">
        <v>8.1</v>
      </c>
    </row>
    <row r="70" customFormat="false" ht="15.75" hidden="false" customHeight="false" outlineLevel="0" collapsed="false">
      <c r="Z70" s="57" t="n">
        <v>1999</v>
      </c>
      <c r="AA70" s="2" t="n">
        <v>7.6</v>
      </c>
    </row>
    <row r="71" customFormat="false" ht="15.75" hidden="false" customHeight="false" outlineLevel="0" collapsed="false">
      <c r="Z71" s="57" t="n">
        <v>1999</v>
      </c>
      <c r="AA71" s="2" t="n">
        <v>13.5</v>
      </c>
    </row>
    <row r="72" customFormat="false" ht="15.75" hidden="false" customHeight="false" outlineLevel="0" collapsed="false">
      <c r="Z72" s="57" t="n">
        <v>2000</v>
      </c>
      <c r="AA72" s="2" t="n">
        <v>7.6</v>
      </c>
    </row>
    <row r="73" customFormat="false" ht="15.75" hidden="false" customHeight="false" outlineLevel="0" collapsed="false">
      <c r="Z73" s="57" t="n">
        <v>2000</v>
      </c>
      <c r="AA73" s="2" t="n">
        <v>5.9</v>
      </c>
    </row>
    <row r="74" customFormat="false" ht="15.75" hidden="false" customHeight="false" outlineLevel="0" collapsed="false">
      <c r="Z74" s="57" t="n">
        <v>2000</v>
      </c>
      <c r="AA74" s="2" t="n">
        <v>14.5</v>
      </c>
    </row>
    <row r="75" customFormat="false" ht="15.75" hidden="false" customHeight="false" outlineLevel="0" collapsed="false">
      <c r="Z75" s="57" t="n">
        <v>2000</v>
      </c>
      <c r="AA75" s="2" t="n">
        <v>17.6</v>
      </c>
    </row>
    <row r="76" customFormat="false" ht="15.75" hidden="false" customHeight="false" outlineLevel="0" collapsed="false">
      <c r="Z76" s="57" t="n">
        <v>2000</v>
      </c>
      <c r="AA76" s="2" t="n">
        <v>6</v>
      </c>
    </row>
    <row r="77" customFormat="false" ht="15.75" hidden="false" customHeight="false" outlineLevel="0" collapsed="false">
      <c r="Z77" s="57" t="n">
        <v>2000</v>
      </c>
      <c r="AA77" s="2" t="n">
        <v>24</v>
      </c>
    </row>
    <row r="78" customFormat="false" ht="15.75" hidden="false" customHeight="false" outlineLevel="0" collapsed="false">
      <c r="Z78" s="57" t="n">
        <v>2000</v>
      </c>
      <c r="AA78" s="2" t="n">
        <v>18</v>
      </c>
    </row>
    <row r="79" customFormat="false" ht="15.75" hidden="false" customHeight="false" outlineLevel="0" collapsed="false">
      <c r="Z79" s="57" t="n">
        <v>2001</v>
      </c>
      <c r="AA79" s="2" t="n">
        <v>5.9</v>
      </c>
    </row>
    <row r="80" customFormat="false" ht="15.75" hidden="false" customHeight="false" outlineLevel="0" collapsed="false">
      <c r="Z80" s="57" t="n">
        <v>2001</v>
      </c>
      <c r="AA80" s="2" t="n">
        <v>8</v>
      </c>
    </row>
    <row r="81" customFormat="false" ht="15.75" hidden="false" customHeight="false" outlineLevel="0" collapsed="false">
      <c r="Z81" s="57" t="n">
        <v>2002</v>
      </c>
      <c r="AA81" s="2" t="n">
        <v>9.3</v>
      </c>
    </row>
    <row r="82" customFormat="false" ht="15.75" hidden="false" customHeight="false" outlineLevel="0" collapsed="false">
      <c r="Z82" s="57" t="n">
        <v>2002</v>
      </c>
      <c r="AA82" s="2" t="n">
        <v>28.7</v>
      </c>
    </row>
    <row r="83" customFormat="false" ht="15.75" hidden="false" customHeight="false" outlineLevel="0" collapsed="false">
      <c r="Z83" s="57" t="n">
        <v>2003</v>
      </c>
      <c r="AA83" s="2" t="n">
        <v>9.3</v>
      </c>
    </row>
    <row r="84" customFormat="false" ht="15.75" hidden="false" customHeight="false" outlineLevel="0" collapsed="false">
      <c r="Z84" s="57" t="n">
        <v>2003</v>
      </c>
      <c r="AA84" s="2" t="n">
        <v>9.4</v>
      </c>
    </row>
    <row r="85" customFormat="false" ht="15.75" hidden="false" customHeight="false" outlineLevel="0" collapsed="false">
      <c r="Z85" s="57" t="n">
        <v>2003</v>
      </c>
      <c r="AA85" s="2" t="n">
        <v>5</v>
      </c>
      <c r="AF85" s="108" t="s">
        <v>1301</v>
      </c>
    </row>
    <row r="86" customFormat="false" ht="15.75" hidden="false" customHeight="false" outlineLevel="0" collapsed="false">
      <c r="Z86" s="57" t="n">
        <v>2005</v>
      </c>
      <c r="AA86" s="2" t="n">
        <v>7</v>
      </c>
      <c r="AF86" s="108" t="s">
        <v>1301</v>
      </c>
    </row>
    <row r="87" customFormat="false" ht="15.75" hidden="false" customHeight="false" outlineLevel="0" collapsed="false">
      <c r="Z87" s="57" t="n">
        <v>2005</v>
      </c>
      <c r="AA87" s="2" t="n">
        <v>2.4</v>
      </c>
      <c r="AF87" s="108" t="s">
        <v>1301</v>
      </c>
    </row>
    <row r="88" customFormat="false" ht="15.75" hidden="false" customHeight="false" outlineLevel="0" collapsed="false">
      <c r="Z88" s="57" t="n">
        <v>2005</v>
      </c>
      <c r="AA88" s="2" t="n">
        <v>3.5</v>
      </c>
      <c r="AF88" s="108" t="s">
        <v>1301</v>
      </c>
    </row>
    <row r="89" customFormat="false" ht="15.75" hidden="false" customHeight="false" outlineLevel="0" collapsed="false">
      <c r="Z89" s="57" t="n">
        <v>2005</v>
      </c>
      <c r="AA89" s="2" t="n">
        <v>7.9</v>
      </c>
      <c r="AF89" s="108" t="s">
        <v>1301</v>
      </c>
    </row>
    <row r="90" customFormat="false" ht="15.75" hidden="false" customHeight="false" outlineLevel="0" collapsed="false">
      <c r="Z90" s="57" t="n">
        <v>2005</v>
      </c>
      <c r="AA90" s="2" t="n">
        <v>7.9</v>
      </c>
      <c r="AF90" s="108" t="s">
        <v>1301</v>
      </c>
    </row>
    <row r="91" customFormat="false" ht="15.75" hidden="false" customHeight="false" outlineLevel="0" collapsed="false">
      <c r="Z91" s="57" t="n">
        <v>2005</v>
      </c>
      <c r="AA91" s="2" t="n">
        <v>2.9</v>
      </c>
      <c r="AF91" s="108" t="s">
        <v>1301</v>
      </c>
    </row>
    <row r="92" customFormat="false" ht="15.75" hidden="false" customHeight="false" outlineLevel="0" collapsed="false">
      <c r="Z92" s="57" t="n">
        <v>2011</v>
      </c>
      <c r="AA92" s="2" t="n">
        <v>5.2</v>
      </c>
      <c r="AF92" s="108" t="s">
        <v>1301</v>
      </c>
    </row>
    <row r="93" customFormat="false" ht="15.75" hidden="false" customHeight="false" outlineLevel="0" collapsed="false">
      <c r="Z93" s="57" t="n">
        <v>2014</v>
      </c>
      <c r="AA93" s="2" t="n">
        <v>1.2</v>
      </c>
      <c r="AF93" s="108" t="s">
        <v>1301</v>
      </c>
    </row>
  </sheetData>
  <mergeCells count="1">
    <mergeCell ref="C27:N33"/>
  </mergeCells>
  <hyperlinks>
    <hyperlink ref="C2" r:id="rId1" display="https://citeseerx.ist.psu.edu/viewdoc/download?doi=10.1.1.118.6922&amp;rep=rep1&amp;type=pdf "/>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L12"/>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Q20" activeCellId="0" sqref="Q20"/>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3" min="3" style="0" width="11.5"/>
    <col collapsed="false" customWidth="true" hidden="false" outlineLevel="0" max="5" min="5" style="0" width="18.87"/>
    <col collapsed="false" customWidth="true" hidden="false" outlineLevel="0" max="12" min="12" style="0" width="25.25"/>
    <col collapsed="false" customWidth="true" hidden="false" outlineLevel="0" max="13" min="13" style="257" width="1.26"/>
  </cols>
  <sheetData>
    <row r="2" customFormat="false" ht="15.75" hidden="false" customHeight="false" outlineLevel="0" collapsed="false">
      <c r="B2" s="92" t="s">
        <v>508</v>
      </c>
      <c r="C2" s="220" t="s">
        <v>385</v>
      </c>
    </row>
    <row r="4" customFormat="false" ht="21" hidden="false" customHeight="false" outlineLevel="0" collapsed="false">
      <c r="B4" s="259" t="s">
        <v>556</v>
      </c>
      <c r="C4" s="259"/>
      <c r="D4" s="259"/>
      <c r="I4" s="259" t="s">
        <v>557</v>
      </c>
      <c r="J4" s="259"/>
      <c r="K4" s="259"/>
    </row>
    <row r="5" customFormat="false" ht="15.75" hidden="false" customHeight="false" outlineLevel="0" collapsed="false">
      <c r="C5" s="111" t="s">
        <v>1303</v>
      </c>
      <c r="D5" s="344"/>
      <c r="E5" s="0" t="s">
        <v>1304</v>
      </c>
      <c r="J5" s="111" t="s">
        <v>1303</v>
      </c>
      <c r="K5" s="344"/>
      <c r="L5" s="0" t="s">
        <v>1305</v>
      </c>
    </row>
    <row r="6" customFormat="false" ht="15.75" hidden="false" customHeight="false" outlineLevel="0" collapsed="false">
      <c r="C6" s="0" t="s">
        <v>1306</v>
      </c>
      <c r="D6" s="0" t="n">
        <v>1.27</v>
      </c>
      <c r="E6" s="0" t="s">
        <v>1001</v>
      </c>
      <c r="K6" s="0" t="n">
        <v>7.88</v>
      </c>
      <c r="L6" s="0" t="s">
        <v>552</v>
      </c>
    </row>
    <row r="7" customFormat="false" ht="15.75" hidden="false" customHeight="false" outlineLevel="0" collapsed="false">
      <c r="C7" s="0" t="s">
        <v>1307</v>
      </c>
      <c r="D7" s="0" t="n">
        <v>0.16</v>
      </c>
      <c r="E7" s="0" t="s">
        <v>1001</v>
      </c>
    </row>
    <row r="8" customFormat="false" ht="15.75" hidden="false" customHeight="false" outlineLevel="0" collapsed="false">
      <c r="C8" s="111" t="s">
        <v>1308</v>
      </c>
      <c r="D8" s="344"/>
      <c r="E8" s="0" t="s">
        <v>1309</v>
      </c>
    </row>
    <row r="9" customFormat="false" ht="15.75" hidden="false" customHeight="false" outlineLevel="0" collapsed="false">
      <c r="C9" s="0" t="s">
        <v>1306</v>
      </c>
      <c r="D9" s="0" t="n">
        <v>0.55</v>
      </c>
      <c r="E9" s="0" t="s">
        <v>1001</v>
      </c>
    </row>
    <row r="10" customFormat="false" ht="15.75" hidden="false" customHeight="false" outlineLevel="0" collapsed="false">
      <c r="C10" s="0" t="s">
        <v>1307</v>
      </c>
      <c r="D10" s="0" t="n">
        <v>0.07</v>
      </c>
      <c r="E10" s="0" t="s">
        <v>1001</v>
      </c>
      <c r="F10" s="0" t="s">
        <v>1310</v>
      </c>
      <c r="G10" s="0" t="s">
        <v>1311</v>
      </c>
    </row>
    <row r="12" customFormat="false" ht="15.75" hidden="false" customHeight="false" outlineLevel="0" collapsed="false">
      <c r="C12" s="320" t="s">
        <v>1312</v>
      </c>
      <c r="D12" s="269" t="n">
        <f aca="false">(D6+D9)*Parameters!C12*Parameters!C3+(D7+D10)*Parameters!C12*Parameters!C6</f>
        <v>17.208</v>
      </c>
      <c r="E12" s="182" t="s">
        <v>553</v>
      </c>
      <c r="J12" s="320" t="s">
        <v>1312</v>
      </c>
      <c r="K12" s="269" t="n">
        <f aca="false">K6</f>
        <v>7.88</v>
      </c>
      <c r="L12" s="182" t="s">
        <v>552</v>
      </c>
    </row>
  </sheetData>
  <mergeCells count="2">
    <mergeCell ref="B4:D4"/>
    <mergeCell ref="I4:K4"/>
  </mergeCells>
  <hyperlinks>
    <hyperlink ref="C2" r:id="rId1" display="https://www.umweltbundesamt.de/sites/default/files/medien/378/publikationen/texte_82_2013_janssen_informationstechnik_teil_c.pdf"/>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S10"/>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Z18" activeCellId="0" sqref="Z18"/>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3" min="3" style="0" width="11.75"/>
    <col collapsed="false" customWidth="true" hidden="false" outlineLevel="0" max="4" min="4" style="0" width="14.87"/>
    <col collapsed="false" customWidth="true" hidden="false" outlineLevel="0" max="5" min="5" style="0" width="12.75"/>
    <col collapsed="false" customWidth="true" hidden="false" outlineLevel="0" max="7" min="7" style="0" width="15.63"/>
    <col collapsed="false" customWidth="true" hidden="false" outlineLevel="0" max="8" min="8" style="0" width="17.63"/>
    <col collapsed="false" customWidth="true" hidden="false" outlineLevel="0" max="9" min="9" style="0" width="20.63"/>
    <col collapsed="false" customWidth="true" hidden="false" outlineLevel="0" max="11" min="11" style="257" width="1.26"/>
    <col collapsed="false" customWidth="true" hidden="false" outlineLevel="0" max="22" min="22" style="257" width="1.26"/>
  </cols>
  <sheetData>
    <row r="2" customFormat="false" ht="15.75" hidden="false" customHeight="false" outlineLevel="0" collapsed="false">
      <c r="B2" s="92" t="s">
        <v>508</v>
      </c>
      <c r="C2" s="220" t="s">
        <v>72</v>
      </c>
      <c r="L2" s="92" t="s">
        <v>508</v>
      </c>
      <c r="M2" s="220" t="s">
        <v>1313</v>
      </c>
    </row>
    <row r="4" customFormat="false" ht="21" hidden="false" customHeight="false" outlineLevel="0" collapsed="false">
      <c r="C4" s="259" t="s">
        <v>67</v>
      </c>
      <c r="D4" s="259"/>
      <c r="E4" s="0" t="s">
        <v>1314</v>
      </c>
      <c r="G4" s="259" t="s">
        <v>556</v>
      </c>
      <c r="H4" s="259"/>
      <c r="I4" s="0" t="s">
        <v>1314</v>
      </c>
      <c r="M4" s="259" t="s">
        <v>67</v>
      </c>
      <c r="N4" s="259"/>
      <c r="O4" s="0" t="s">
        <v>1315</v>
      </c>
      <c r="Q4" s="259" t="s">
        <v>556</v>
      </c>
      <c r="R4" s="259"/>
      <c r="S4" s="0" t="s">
        <v>1315</v>
      </c>
    </row>
    <row r="5" customFormat="false" ht="15.75" hidden="false" customHeight="false" outlineLevel="0" collapsed="false">
      <c r="C5" s="89" t="s">
        <v>1303</v>
      </c>
      <c r="D5" s="0" t="n">
        <v>3.4</v>
      </c>
      <c r="E5" s="0" t="s">
        <v>551</v>
      </c>
      <c r="G5" s="89" t="s">
        <v>1303</v>
      </c>
      <c r="H5" s="0" t="n">
        <v>60.3</v>
      </c>
      <c r="I5" s="0" t="s">
        <v>553</v>
      </c>
      <c r="M5" s="89" t="s">
        <v>1303</v>
      </c>
      <c r="N5" s="0" t="n">
        <f aca="false">0.9+1.5+0.5+0.4</f>
        <v>3.3</v>
      </c>
      <c r="O5" s="0" t="s">
        <v>551</v>
      </c>
      <c r="Q5" s="89" t="s">
        <v>1303</v>
      </c>
      <c r="R5" s="0" t="n">
        <f aca="false">(33.6+17.9+5.9+2.9)</f>
        <v>60.3</v>
      </c>
      <c r="S5" s="0" t="s">
        <v>553</v>
      </c>
    </row>
    <row r="6" customFormat="false" ht="15.75" hidden="false" customHeight="false" outlineLevel="0" collapsed="false">
      <c r="C6" s="89" t="s">
        <v>1308</v>
      </c>
      <c r="D6" s="0" t="n">
        <v>2</v>
      </c>
      <c r="E6" s="0" t="s">
        <v>551</v>
      </c>
      <c r="G6" s="89" t="s">
        <v>1308</v>
      </c>
      <c r="H6" s="0" t="n">
        <v>34.6</v>
      </c>
      <c r="I6" s="0" t="s">
        <v>553</v>
      </c>
      <c r="M6" s="89"/>
      <c r="Q6" s="89"/>
    </row>
    <row r="8" customFormat="false" ht="15.75" hidden="false" customHeight="false" outlineLevel="0" collapsed="false">
      <c r="C8" s="320" t="s">
        <v>1312</v>
      </c>
      <c r="D8" s="269" t="n">
        <f aca="false">D5+D6</f>
        <v>5.4</v>
      </c>
      <c r="E8" s="182" t="s">
        <v>551</v>
      </c>
      <c r="G8" s="320" t="s">
        <v>1312</v>
      </c>
      <c r="H8" s="269" t="n">
        <f aca="false">H5+H6</f>
        <v>94.9</v>
      </c>
      <c r="I8" s="182" t="s">
        <v>553</v>
      </c>
      <c r="M8" s="320" t="s">
        <v>1312</v>
      </c>
      <c r="N8" s="269" t="n">
        <f aca="false">N5</f>
        <v>3.3</v>
      </c>
      <c r="O8" s="182" t="s">
        <v>551</v>
      </c>
      <c r="Q8" s="320" t="s">
        <v>1312</v>
      </c>
      <c r="R8" s="269" t="n">
        <f aca="false">R5</f>
        <v>60.3</v>
      </c>
      <c r="S8" s="182" t="s">
        <v>553</v>
      </c>
    </row>
    <row r="10" customFormat="false" ht="15.75" hidden="false" customHeight="false" outlineLevel="0" collapsed="false">
      <c r="C10" s="222" t="s">
        <v>1316</v>
      </c>
      <c r="M10" s="0" t="s">
        <v>1317</v>
      </c>
    </row>
  </sheetData>
  <mergeCells count="4">
    <mergeCell ref="C4:D4"/>
    <mergeCell ref="G4:H4"/>
    <mergeCell ref="M4:N4"/>
    <mergeCell ref="Q4:R4"/>
  </mergeCells>
  <hyperlinks>
    <hyperlink ref="C2" r:id="rId1" display="https://www.fairphone.com/wp-content/uploads/2016/11/Fairphone_2_LCA_Final_20161122.pdf"/>
    <hyperlink ref="M2" r:id="rId2" display="https://www.fairphone.com/wp-content/uploads/2020/07/Fairphone_3_LCA.pdf"/>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P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C4" activeCellId="0" sqref="C4"/>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3" min="3" style="0" width="22.25"/>
    <col collapsed="false" customWidth="true" hidden="false" outlineLevel="0" max="5" min="5" style="0" width="20"/>
    <col collapsed="false" customWidth="true" hidden="false" outlineLevel="0" max="12" min="12" style="257" width="1.26"/>
    <col collapsed="false" customWidth="true" hidden="false" outlineLevel="0" max="16" min="16" style="0" width="73.87"/>
  </cols>
  <sheetData>
    <row r="2" customFormat="false" ht="15.75" hidden="false" customHeight="false" outlineLevel="0" collapsed="false">
      <c r="B2" s="92" t="s">
        <v>508</v>
      </c>
      <c r="C2" s="220" t="s">
        <v>124</v>
      </c>
    </row>
    <row r="4" customFormat="false" ht="21" hidden="false" customHeight="false" outlineLevel="0" collapsed="false">
      <c r="C4" s="259" t="s">
        <v>67</v>
      </c>
      <c r="D4" s="259"/>
    </row>
    <row r="5" customFormat="false" ht="15.75" hidden="false" customHeight="false" outlineLevel="0" collapsed="false">
      <c r="C5" s="89" t="s">
        <v>1318</v>
      </c>
      <c r="D5" s="0" t="n">
        <f aca="false">21000/10000</f>
        <v>2.1</v>
      </c>
      <c r="E5" s="0" t="s">
        <v>551</v>
      </c>
    </row>
    <row r="6" customFormat="false" ht="15.75" hidden="false" customHeight="false" outlineLevel="0" collapsed="false">
      <c r="C6" s="89" t="s">
        <v>1319</v>
      </c>
      <c r="D6" s="0" t="n">
        <f aca="false">6900/10000</f>
        <v>0.69</v>
      </c>
      <c r="E6" s="0" t="s">
        <v>551</v>
      </c>
    </row>
    <row r="9" customFormat="false" ht="15.75" hidden="false" customHeight="false" outlineLevel="0" collapsed="false">
      <c r="P9" s="77"/>
    </row>
  </sheetData>
  <mergeCells count="1">
    <mergeCell ref="C4:D4"/>
  </mergeCells>
  <hyperlinks>
    <hyperlink ref="C2" r:id="rId1" display="http://link.springer.com/10.1007/s11367-011-0351-1"/>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K37"/>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G28" activeCellId="0" sqref="G28"/>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8" min="7" style="0" width="19.87"/>
    <col collapsed="false" customWidth="true" hidden="false" outlineLevel="0" max="10" min="10" style="0" width="13.37"/>
    <col collapsed="false" customWidth="true" hidden="false" outlineLevel="0" max="11" min="11" style="0" width="16.5"/>
    <col collapsed="false" customWidth="true" hidden="false" outlineLevel="0" max="13" min="13" style="257" width="1.26"/>
  </cols>
  <sheetData>
    <row r="2" customFormat="false" ht="15.75" hidden="false" customHeight="false" outlineLevel="0" collapsed="false">
      <c r="B2" s="92" t="s">
        <v>508</v>
      </c>
      <c r="C2" s="220" t="s">
        <v>706</v>
      </c>
    </row>
    <row r="4" customFormat="false" ht="15.75" hidden="false" customHeight="false" outlineLevel="0" collapsed="false">
      <c r="D4" s="0" t="s">
        <v>1320</v>
      </c>
      <c r="E4" s="0" t="s">
        <v>1321</v>
      </c>
      <c r="G4" s="0" t="s">
        <v>1322</v>
      </c>
    </row>
    <row r="5" customFormat="false" ht="21" hidden="false" customHeight="false" outlineLevel="0" collapsed="false">
      <c r="B5" s="259" t="s">
        <v>1323</v>
      </c>
      <c r="C5" s="259"/>
      <c r="D5" s="259"/>
      <c r="E5" s="259"/>
      <c r="F5" s="259"/>
      <c r="G5" s="259"/>
      <c r="H5" s="259"/>
      <c r="I5" s="259"/>
      <c r="J5" s="259"/>
      <c r="K5" s="259"/>
    </row>
    <row r="6" customFormat="false" ht="47.25" hidden="false" customHeight="false" outlineLevel="0" collapsed="false">
      <c r="B6" s="111" t="s">
        <v>1324</v>
      </c>
      <c r="C6" s="111"/>
      <c r="D6" s="111" t="s">
        <v>67</v>
      </c>
      <c r="E6" s="111" t="s">
        <v>1325</v>
      </c>
      <c r="F6" s="111"/>
      <c r="G6" s="111" t="s">
        <v>1326</v>
      </c>
      <c r="H6" s="111" t="s">
        <v>1327</v>
      </c>
      <c r="I6" s="111"/>
      <c r="J6" s="148" t="s">
        <v>1328</v>
      </c>
      <c r="K6" s="148" t="s">
        <v>1329</v>
      </c>
    </row>
    <row r="8" customFormat="false" ht="15.75" hidden="false" customHeight="false" outlineLevel="0" collapsed="false">
      <c r="B8" s="0" t="s">
        <v>1330</v>
      </c>
      <c r="D8" s="0" t="n">
        <v>79</v>
      </c>
      <c r="E8" s="0" t="n">
        <v>1223</v>
      </c>
      <c r="G8" s="0" t="n">
        <v>2195</v>
      </c>
      <c r="H8" s="0" t="n">
        <f aca="false">G8/100</f>
        <v>21.95</v>
      </c>
      <c r="J8" s="91" t="n">
        <f aca="false">D8/H8</f>
        <v>3.59908883826879</v>
      </c>
      <c r="K8" s="91" t="n">
        <f aca="false">E8/H8</f>
        <v>55.7175398633257</v>
      </c>
    </row>
    <row r="9" customFormat="false" ht="15.75" hidden="false" customHeight="false" outlineLevel="0" collapsed="false">
      <c r="B9" s="0" t="s">
        <v>1331</v>
      </c>
      <c r="D9" s="0" t="n">
        <v>21.5</v>
      </c>
      <c r="E9" s="0" t="n">
        <v>318</v>
      </c>
      <c r="G9" s="0" t="n">
        <v>500</v>
      </c>
      <c r="H9" s="0" t="n">
        <f aca="false">G9/100</f>
        <v>5</v>
      </c>
      <c r="J9" s="91" t="n">
        <f aca="false">D9/H9</f>
        <v>4.3</v>
      </c>
      <c r="K9" s="91" t="n">
        <f aca="false">E9/H9</f>
        <v>63.6</v>
      </c>
    </row>
    <row r="10" customFormat="false" ht="15.75" hidden="false" customHeight="false" outlineLevel="0" collapsed="false">
      <c r="B10" s="0" t="s">
        <v>1332</v>
      </c>
      <c r="D10" s="0" t="n">
        <v>9.4</v>
      </c>
      <c r="E10" s="0" t="n">
        <v>138</v>
      </c>
      <c r="G10" s="0" t="n">
        <v>218</v>
      </c>
      <c r="H10" s="0" t="n">
        <f aca="false">G10/100</f>
        <v>2.18</v>
      </c>
      <c r="J10" s="91" t="n">
        <f aca="false">D10/H10</f>
        <v>4.31192660550459</v>
      </c>
      <c r="K10" s="91" t="n">
        <f aca="false">E10/H10</f>
        <v>63.302752293578</v>
      </c>
    </row>
    <row r="11" customFormat="false" ht="15.75" hidden="false" customHeight="false" outlineLevel="0" collapsed="false">
      <c r="B11" s="0" t="s">
        <v>1333</v>
      </c>
      <c r="D11" s="0" t="n">
        <v>5.4</v>
      </c>
      <c r="E11" s="0" t="n">
        <v>80</v>
      </c>
      <c r="G11" s="0" t="n">
        <v>126</v>
      </c>
      <c r="H11" s="0" t="n">
        <f aca="false">G11/100</f>
        <v>1.26</v>
      </c>
      <c r="J11" s="91" t="n">
        <f aca="false">D11/H11</f>
        <v>4.28571428571429</v>
      </c>
      <c r="K11" s="91" t="n">
        <f aca="false">E11/H11</f>
        <v>63.4920634920635</v>
      </c>
    </row>
    <row r="12" customFormat="false" ht="15.75" hidden="false" customHeight="false" outlineLevel="0" collapsed="false">
      <c r="B12" s="0" t="s">
        <v>1334</v>
      </c>
      <c r="D12" s="0" t="n">
        <v>17</v>
      </c>
      <c r="E12" s="0" t="n">
        <v>256</v>
      </c>
      <c r="G12" s="0" t="n">
        <v>355</v>
      </c>
      <c r="H12" s="0" t="n">
        <f aca="false">G12/100</f>
        <v>3.55</v>
      </c>
      <c r="J12" s="91" t="n">
        <f aca="false">D12/H12</f>
        <v>4.7887323943662</v>
      </c>
      <c r="K12" s="91" t="n">
        <f aca="false">E12/H12</f>
        <v>72.112676056338</v>
      </c>
    </row>
    <row r="13" customFormat="false" ht="15.75" hidden="false" customHeight="false" outlineLevel="0" collapsed="false">
      <c r="B13" s="0" t="s">
        <v>1335</v>
      </c>
      <c r="D13" s="0" t="n">
        <v>1</v>
      </c>
      <c r="E13" s="0" t="n">
        <v>16</v>
      </c>
      <c r="G13" s="0" t="n">
        <v>22</v>
      </c>
      <c r="H13" s="0" t="n">
        <f aca="false">G13/100</f>
        <v>0.22</v>
      </c>
      <c r="J13" s="91" t="n">
        <f aca="false">D13/H13</f>
        <v>4.54545454545455</v>
      </c>
      <c r="K13" s="91" t="n">
        <f aca="false">E13/H13</f>
        <v>72.7272727272727</v>
      </c>
    </row>
    <row r="14" customFormat="false" ht="15.75" hidden="false" customHeight="false" outlineLevel="0" collapsed="false">
      <c r="B14" s="0" t="s">
        <v>1336</v>
      </c>
      <c r="D14" s="0" t="n">
        <v>67.8</v>
      </c>
      <c r="E14" s="0" t="n">
        <v>1003</v>
      </c>
      <c r="G14" s="0" t="n">
        <v>1577</v>
      </c>
      <c r="H14" s="0" t="n">
        <f aca="false">G14/100</f>
        <v>15.77</v>
      </c>
      <c r="J14" s="91" t="n">
        <f aca="false">D14/H14</f>
        <v>4.2993024730501</v>
      </c>
      <c r="K14" s="91" t="n">
        <f aca="false">E14/H14</f>
        <v>63.6017755231452</v>
      </c>
    </row>
    <row r="15" customFormat="false" ht="15.75" hidden="false" customHeight="false" outlineLevel="0" collapsed="false">
      <c r="B15" s="0" t="s">
        <v>1337</v>
      </c>
      <c r="D15" s="0" t="n">
        <v>20.8</v>
      </c>
      <c r="E15" s="0" t="n">
        <v>307</v>
      </c>
      <c r="G15" s="0" t="n">
        <v>483</v>
      </c>
      <c r="H15" s="0" t="n">
        <f aca="false">G15/100</f>
        <v>4.83</v>
      </c>
      <c r="J15" s="91" t="n">
        <f aca="false">D15/H15</f>
        <v>4.3064182194617</v>
      </c>
      <c r="K15" s="91" t="n">
        <f aca="false">E15/H15</f>
        <v>63.5610766045549</v>
      </c>
    </row>
    <row r="16" customFormat="false" ht="15.75" hidden="false" customHeight="false" outlineLevel="0" collapsed="false">
      <c r="B16" s="0" t="s">
        <v>1338</v>
      </c>
      <c r="D16" s="0" t="n">
        <v>19.9</v>
      </c>
      <c r="E16" s="0" t="n">
        <v>294</v>
      </c>
      <c r="G16" s="0" t="n">
        <v>463</v>
      </c>
      <c r="H16" s="0" t="n">
        <f aca="false">G16/100</f>
        <v>4.63</v>
      </c>
      <c r="J16" s="91" t="n">
        <f aca="false">D16/H16</f>
        <v>4.29805615550756</v>
      </c>
      <c r="K16" s="91" t="n">
        <f aca="false">E16/H16</f>
        <v>63.4989200863931</v>
      </c>
    </row>
    <row r="17" customFormat="false" ht="15.75" hidden="false" customHeight="false" outlineLevel="0" collapsed="false">
      <c r="B17" s="0" t="s">
        <v>1339</v>
      </c>
      <c r="D17" s="0" t="n">
        <v>7.3</v>
      </c>
      <c r="E17" s="0" t="n">
        <v>108</v>
      </c>
      <c r="G17" s="0" t="n">
        <v>170</v>
      </c>
      <c r="H17" s="0" t="n">
        <f aca="false">G17/100</f>
        <v>1.7</v>
      </c>
      <c r="J17" s="91" t="n">
        <f aca="false">D17/H17</f>
        <v>4.29411764705882</v>
      </c>
      <c r="K17" s="91" t="n">
        <f aca="false">E17/H17</f>
        <v>63.5294117647059</v>
      </c>
    </row>
    <row r="18" customFormat="false" ht="15.75" hidden="false" customHeight="false" outlineLevel="0" collapsed="false">
      <c r="B18" s="0" t="s">
        <v>1340</v>
      </c>
      <c r="D18" s="0" t="n">
        <v>2.2</v>
      </c>
      <c r="E18" s="0" t="n">
        <v>33</v>
      </c>
      <c r="G18" s="0" t="n">
        <v>52</v>
      </c>
      <c r="H18" s="0" t="n">
        <f aca="false">G18/100</f>
        <v>0.52</v>
      </c>
      <c r="J18" s="91" t="n">
        <f aca="false">D18/H18</f>
        <v>4.23076923076923</v>
      </c>
      <c r="K18" s="91" t="n">
        <f aca="false">E18/H18</f>
        <v>63.4615384615385</v>
      </c>
    </row>
    <row r="19" customFormat="false" ht="15.75" hidden="false" customHeight="false" outlineLevel="0" collapsed="false">
      <c r="B19" s="0" t="s">
        <v>1341</v>
      </c>
      <c r="D19" s="0" t="n">
        <v>3.6</v>
      </c>
      <c r="E19" s="0" t="n">
        <v>53</v>
      </c>
      <c r="G19" s="0" t="n">
        <v>66</v>
      </c>
      <c r="H19" s="0" t="n">
        <f aca="false">G19/100</f>
        <v>0.66</v>
      </c>
      <c r="J19" s="91" t="n">
        <f aca="false">D19/H19</f>
        <v>5.45454545454545</v>
      </c>
      <c r="K19" s="91" t="n">
        <f aca="false">E19/H19</f>
        <v>80.3030303030303</v>
      </c>
    </row>
    <row r="20" customFormat="false" ht="15.75" hidden="false" customHeight="false" outlineLevel="0" collapsed="false">
      <c r="B20" s="0" t="s">
        <v>1342</v>
      </c>
      <c r="D20" s="0" t="n">
        <v>72.4</v>
      </c>
      <c r="E20" s="0" t="n">
        <v>961</v>
      </c>
      <c r="G20" s="0" t="n">
        <v>1683</v>
      </c>
      <c r="H20" s="0" t="n">
        <f aca="false">G20/100</f>
        <v>16.83</v>
      </c>
      <c r="J20" s="91" t="n">
        <f aca="false">D20/H20</f>
        <v>4.30184194890077</v>
      </c>
      <c r="K20" s="91" t="n">
        <f aca="false">E20/H20</f>
        <v>57.1004159239453</v>
      </c>
    </row>
    <row r="21" customFormat="false" ht="15.75" hidden="false" customHeight="false" outlineLevel="0" collapsed="false">
      <c r="B21" s="0" t="s">
        <v>1343</v>
      </c>
      <c r="D21" s="0" t="n">
        <v>15.8</v>
      </c>
      <c r="E21" s="0" t="n">
        <v>233</v>
      </c>
      <c r="G21" s="0" t="n">
        <v>366</v>
      </c>
      <c r="H21" s="0" t="n">
        <f aca="false">G21/100</f>
        <v>3.66</v>
      </c>
      <c r="J21" s="91" t="n">
        <f aca="false">D21/H21</f>
        <v>4.31693989071038</v>
      </c>
      <c r="K21" s="91" t="n">
        <f aca="false">E21/H21</f>
        <v>63.6612021857924</v>
      </c>
    </row>
    <row r="23" customFormat="false" ht="15.75" hidden="false" customHeight="false" outlineLevel="0" collapsed="false">
      <c r="I23" s="320" t="s">
        <v>1344</v>
      </c>
      <c r="J23" s="345" t="n">
        <f aca="false">MIN(J8:J21)</f>
        <v>3.59908883826879</v>
      </c>
      <c r="K23" s="345" t="n">
        <f aca="false">MIN(K8:K21)</f>
        <v>55.7175398633257</v>
      </c>
    </row>
    <row r="24" customFormat="false" ht="15.75" hidden="false" customHeight="false" outlineLevel="0" collapsed="false">
      <c r="I24" s="320" t="s">
        <v>1345</v>
      </c>
      <c r="J24" s="345" t="n">
        <f aca="false">MAX(J8:J21)</f>
        <v>5.45454545454545</v>
      </c>
      <c r="K24" s="345" t="n">
        <f aca="false">MAX(K8:K21)</f>
        <v>80.3030303030303</v>
      </c>
    </row>
    <row r="27" customFormat="false" ht="21" hidden="false" customHeight="false" outlineLevel="0" collapsed="false">
      <c r="B27" s="0" t="s">
        <v>1346</v>
      </c>
      <c r="G27" s="259" t="s">
        <v>1323</v>
      </c>
      <c r="H27" s="259"/>
    </row>
    <row r="28" customFormat="false" ht="15.75" hidden="false" customHeight="false" outlineLevel="0" collapsed="false">
      <c r="G28" s="346" t="s">
        <v>1347</v>
      </c>
      <c r="H28" s="346"/>
    </row>
    <row r="29" customFormat="false" ht="15.75" hidden="false" customHeight="false" outlineLevel="0" collapsed="false">
      <c r="G29" s="344" t="s">
        <v>551</v>
      </c>
      <c r="H29" s="344" t="s">
        <v>553</v>
      </c>
    </row>
    <row r="30" customFormat="false" ht="15.75" hidden="false" customHeight="false" outlineLevel="0" collapsed="false">
      <c r="D30" s="89" t="s">
        <v>1348</v>
      </c>
      <c r="G30" s="327"/>
      <c r="H30" s="0" t="n">
        <v>30.2</v>
      </c>
      <c r="J30" s="0" t="s">
        <v>1349</v>
      </c>
    </row>
    <row r="31" customFormat="false" ht="15.75" hidden="false" customHeight="false" outlineLevel="0" collapsed="false">
      <c r="D31" s="89" t="s">
        <v>1350</v>
      </c>
      <c r="G31" s="327"/>
      <c r="H31" s="119" t="n">
        <v>8.3</v>
      </c>
      <c r="I31" s="119" t="s">
        <v>1351</v>
      </c>
    </row>
    <row r="32" customFormat="false" ht="15.75" hidden="false" customHeight="false" outlineLevel="0" collapsed="false">
      <c r="D32" s="89" t="s">
        <v>1352</v>
      </c>
      <c r="G32" s="0" t="n">
        <v>3.7</v>
      </c>
      <c r="H32" s="119" t="n">
        <v>60.6</v>
      </c>
      <c r="I32" s="119" t="s">
        <v>1351</v>
      </c>
      <c r="J32" s="0" t="s">
        <v>1353</v>
      </c>
    </row>
    <row r="33" customFormat="false" ht="15.75" hidden="false" customHeight="false" outlineLevel="0" collapsed="false">
      <c r="D33" s="89" t="s">
        <v>1354</v>
      </c>
      <c r="G33" s="0" t="n">
        <v>1.6</v>
      </c>
      <c r="H33" s="0" t="n">
        <v>21</v>
      </c>
      <c r="J33" s="0" t="s">
        <v>1353</v>
      </c>
    </row>
    <row r="34" customFormat="false" ht="15.75" hidden="false" customHeight="false" outlineLevel="0" collapsed="false">
      <c r="D34" s="89" t="s">
        <v>1355</v>
      </c>
      <c r="G34" s="327"/>
      <c r="H34" s="0" t="n">
        <v>31</v>
      </c>
      <c r="J34" s="0" t="s">
        <v>1349</v>
      </c>
    </row>
    <row r="35" customFormat="false" ht="15.75" hidden="false" customHeight="false" outlineLevel="0" collapsed="false">
      <c r="D35" s="89" t="s">
        <v>1356</v>
      </c>
      <c r="G35" s="327"/>
      <c r="H35" s="0" t="n">
        <v>33</v>
      </c>
      <c r="J35" s="0" t="s">
        <v>1349</v>
      </c>
    </row>
    <row r="36" customFormat="false" ht="15.75" hidden="false" customHeight="false" outlineLevel="0" collapsed="false">
      <c r="D36" s="89" t="s">
        <v>1357</v>
      </c>
      <c r="G36" s="0" t="n">
        <v>5.5</v>
      </c>
      <c r="H36" s="0" t="n">
        <v>81</v>
      </c>
      <c r="J36" s="0" t="s">
        <v>1349</v>
      </c>
    </row>
    <row r="37" customFormat="false" ht="15.75" hidden="false" customHeight="false" outlineLevel="0" collapsed="false">
      <c r="D37" s="89" t="s">
        <v>1358</v>
      </c>
      <c r="G37" s="0" t="n">
        <v>7</v>
      </c>
      <c r="H37" s="327"/>
      <c r="J37" s="0" t="s">
        <v>1359</v>
      </c>
    </row>
  </sheetData>
  <mergeCells count="3">
    <mergeCell ref="B5:K5"/>
    <mergeCell ref="G27:H27"/>
    <mergeCell ref="G28:H28"/>
  </mergeCells>
  <hyperlinks>
    <hyperlink ref="C2" r:id="rId1" display="http://hdl.handle.net/2429/47025"/>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L27"/>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L12" activeCellId="0" sqref="L12"/>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10" min="10" style="0" width="10.63"/>
    <col collapsed="false" customWidth="true" hidden="false" outlineLevel="0" max="14" min="14" style="257" width="1.26"/>
  </cols>
  <sheetData>
    <row r="2" customFormat="false" ht="15.75" hidden="false" customHeight="false" outlineLevel="0" collapsed="false">
      <c r="B2" s="92" t="s">
        <v>508</v>
      </c>
      <c r="C2" s="220" t="s">
        <v>375</v>
      </c>
    </row>
    <row r="3" customFormat="false" ht="15.75" hidden="false" customHeight="false" outlineLevel="0" collapsed="false">
      <c r="C3" s="0" t="s">
        <v>1360</v>
      </c>
    </row>
    <row r="4" customFormat="false" ht="21" hidden="false" customHeight="false" outlineLevel="0" collapsed="false">
      <c r="B4" s="259" t="s">
        <v>556</v>
      </c>
      <c r="C4" s="259"/>
      <c r="D4" s="259"/>
      <c r="E4" s="0" t="s">
        <v>1361</v>
      </c>
    </row>
    <row r="5" customFormat="false" ht="15.75" hidden="false" customHeight="false" outlineLevel="0" collapsed="false">
      <c r="C5" s="111"/>
      <c r="D5" s="111" t="s">
        <v>1001</v>
      </c>
      <c r="E5" s="111" t="s">
        <v>553</v>
      </c>
    </row>
    <row r="6" customFormat="false" ht="15.75" hidden="false" customHeight="false" outlineLevel="0" collapsed="false">
      <c r="C6" s="89" t="s">
        <v>1362</v>
      </c>
      <c r="D6" s="0" t="n">
        <f aca="false">1.32/1</f>
        <v>1.32</v>
      </c>
      <c r="E6" s="115" t="n">
        <f aca="false">D6*Parameters!$C$3*Parameters!$C$12</f>
        <v>11.88</v>
      </c>
    </row>
    <row r="7" customFormat="false" ht="15.75" hidden="false" customHeight="false" outlineLevel="0" collapsed="false">
      <c r="C7" s="89" t="s">
        <v>1363</v>
      </c>
      <c r="D7" s="115" t="n">
        <f aca="false">1.21/0.875</f>
        <v>1.38285714285714</v>
      </c>
      <c r="E7" s="115" t="n">
        <f aca="false">D7*Parameters!$C$3*Parameters!$C$12</f>
        <v>12.4457142857143</v>
      </c>
    </row>
    <row r="8" customFormat="false" ht="15.75" hidden="false" customHeight="false" outlineLevel="0" collapsed="false">
      <c r="C8" s="89" t="s">
        <v>1364</v>
      </c>
      <c r="D8" s="115" t="n">
        <f aca="false">1.48/0.875</f>
        <v>1.69142857142857</v>
      </c>
      <c r="E8" s="115" t="n">
        <f aca="false">D8*Parameters!$C$3*Parameters!$C$12</f>
        <v>15.2228571428571</v>
      </c>
    </row>
    <row r="25" customFormat="false" ht="15.75" hidden="false" customHeight="false" outlineLevel="0" collapsed="false">
      <c r="J25" s="316" t="s">
        <v>1365</v>
      </c>
      <c r="K25" s="316" t="n">
        <f aca="false">3.14*(300/2)*(300/2)/100</f>
        <v>706.5</v>
      </c>
      <c r="L25" s="316" t="s">
        <v>541</v>
      </c>
    </row>
    <row r="26" customFormat="false" ht="15.75" hidden="false" customHeight="false" outlineLevel="0" collapsed="false">
      <c r="J26" s="316" t="s">
        <v>1362</v>
      </c>
      <c r="K26" s="347" t="n">
        <f aca="false">K25/654</f>
        <v>1.0802752293578</v>
      </c>
      <c r="L26" s="316" t="s">
        <v>1266</v>
      </c>
    </row>
    <row r="27" customFormat="false" ht="15.75" hidden="false" customHeight="false" outlineLevel="0" collapsed="false">
      <c r="J27" s="316" t="s">
        <v>680</v>
      </c>
      <c r="K27" s="347" t="n">
        <f aca="false">K25/748</f>
        <v>0.94451871657754</v>
      </c>
      <c r="L27" s="316" t="s">
        <v>1266</v>
      </c>
    </row>
  </sheetData>
  <mergeCells count="1">
    <mergeCell ref="B4:D4"/>
  </mergeCells>
  <hyperlinks>
    <hyperlink ref="C2" r:id="rId1" display="https://www.mpedram.com/Papers/lifecycle-inventory-analysis-finfet-issst14.pdf"/>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AM2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D109" activeCellId="0" sqref="D109"/>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3" min="3" style="0" width="23.5"/>
    <col collapsed="false" customWidth="true" hidden="false" outlineLevel="0" max="6" min="6" style="0" width="13.75"/>
    <col collapsed="false" customWidth="true" hidden="false" outlineLevel="0" max="9" min="7" style="0" width="23.25"/>
    <col collapsed="false" customWidth="true" hidden="false" outlineLevel="0" max="12" min="12" style="0" width="12"/>
    <col collapsed="false" customWidth="true" hidden="false" outlineLevel="0" max="13" min="13" style="0" width="45.75"/>
    <col collapsed="false" customWidth="true" hidden="false" outlineLevel="0" max="14" min="14" style="257" width="1.26"/>
    <col collapsed="false" customWidth="true" hidden="false" outlineLevel="0" max="19" min="17" style="0" width="15"/>
    <col collapsed="false" customWidth="true" hidden="false" outlineLevel="0" max="21" min="21" style="257" width="1.26"/>
    <col collapsed="false" customWidth="true" hidden="false" outlineLevel="0" max="29" min="29" style="257" width="1.26"/>
    <col collapsed="false" customWidth="true" hidden="false" outlineLevel="0" max="39" min="39" style="0" width="11.75"/>
    <col collapsed="false" customWidth="true" hidden="false" outlineLevel="0" max="41" min="41" style="257" width="1.26"/>
  </cols>
  <sheetData>
    <row r="2" customFormat="false" ht="15.75" hidden="false" customHeight="false" outlineLevel="0" collapsed="false">
      <c r="B2" s="92" t="s">
        <v>508</v>
      </c>
      <c r="C2" s="220" t="s">
        <v>221</v>
      </c>
      <c r="O2" s="92" t="s">
        <v>508</v>
      </c>
      <c r="P2" s="220" t="s">
        <v>910</v>
      </c>
      <c r="V2" s="92" t="s">
        <v>508</v>
      </c>
      <c r="W2" s="220" t="s">
        <v>929</v>
      </c>
      <c r="AD2" s="92" t="s">
        <v>508</v>
      </c>
      <c r="AE2" s="220" t="s">
        <v>941</v>
      </c>
    </row>
    <row r="4" customFormat="false" ht="21" hidden="false" customHeight="false" outlineLevel="0" collapsed="false">
      <c r="B4" s="259" t="s">
        <v>1054</v>
      </c>
      <c r="C4" s="259"/>
      <c r="D4" s="259"/>
      <c r="G4" s="259" t="s">
        <v>1054</v>
      </c>
      <c r="H4" s="259"/>
      <c r="J4" s="259" t="s">
        <v>1055</v>
      </c>
      <c r="K4" s="259"/>
      <c r="L4" s="259"/>
      <c r="O4" s="259" t="s">
        <v>1054</v>
      </c>
      <c r="P4" s="259"/>
      <c r="Q4" s="259"/>
      <c r="AE4" s="259" t="s">
        <v>1054</v>
      </c>
      <c r="AF4" s="259"/>
      <c r="AG4" s="259"/>
      <c r="AK4" s="259" t="s">
        <v>1055</v>
      </c>
      <c r="AL4" s="259"/>
      <c r="AM4" s="259"/>
    </row>
    <row r="5" customFormat="false" ht="47.25" hidden="false" customHeight="false" outlineLevel="0" collapsed="false">
      <c r="C5" s="111"/>
      <c r="D5" s="260" t="s">
        <v>1001</v>
      </c>
      <c r="E5" s="260" t="s">
        <v>553</v>
      </c>
      <c r="G5" s="271" t="s">
        <v>1056</v>
      </c>
      <c r="H5" s="271" t="s">
        <v>1057</v>
      </c>
      <c r="K5" s="111"/>
      <c r="L5" s="111" t="s">
        <v>552</v>
      </c>
      <c r="Q5" s="260" t="s">
        <v>1366</v>
      </c>
      <c r="R5" s="260" t="s">
        <v>1367</v>
      </c>
      <c r="S5" s="312" t="s">
        <v>1165</v>
      </c>
      <c r="AF5" s="260" t="s">
        <v>1001</v>
      </c>
      <c r="AG5" s="111" t="s">
        <v>553</v>
      </c>
      <c r="AH5" s="111" t="s">
        <v>1368</v>
      </c>
      <c r="AL5" s="111"/>
      <c r="AM5" s="111" t="s">
        <v>552</v>
      </c>
    </row>
    <row r="6" customFormat="false" ht="15.75" hidden="false" customHeight="true" outlineLevel="0" collapsed="false">
      <c r="B6" s="0" t="n">
        <v>2002</v>
      </c>
      <c r="C6" s="89" t="s">
        <v>1369</v>
      </c>
      <c r="E6" s="115" t="n">
        <f aca="false">(5.8+2.3+27+5.8+0.17)/1.6</f>
        <v>25.66875</v>
      </c>
      <c r="F6" s="0" t="s">
        <v>1370</v>
      </c>
      <c r="J6" s="0" t="n">
        <v>2002</v>
      </c>
      <c r="K6" s="89" t="s">
        <v>1369</v>
      </c>
      <c r="L6" s="0" t="n">
        <f aca="false">32/1.6</f>
        <v>20</v>
      </c>
      <c r="M6" s="222"/>
      <c r="O6" s="0" t="s">
        <v>1371</v>
      </c>
      <c r="P6" s="89" t="s">
        <v>1168</v>
      </c>
      <c r="Q6" s="0" t="n">
        <v>2.7</v>
      </c>
      <c r="R6" s="0" t="n">
        <v>1.5</v>
      </c>
      <c r="S6" s="115" t="n">
        <f aca="false">Q6*Parameters!C6+R6*Parameters!$C$7*Parameters!$C$12</f>
        <v>16.2</v>
      </c>
      <c r="V6" s="261" t="s">
        <v>1372</v>
      </c>
      <c r="W6" s="261"/>
      <c r="X6" s="261"/>
      <c r="Y6" s="261"/>
      <c r="Z6" s="261"/>
      <c r="AA6" s="261"/>
      <c r="AD6" s="0" t="n">
        <v>2002</v>
      </c>
      <c r="AE6" s="89" t="s">
        <v>1369</v>
      </c>
      <c r="AF6" s="0" t="n">
        <f aca="false">2.9/1.6</f>
        <v>1.8125</v>
      </c>
      <c r="AG6" s="0" t="n">
        <f aca="false">1.6/1.6</f>
        <v>1</v>
      </c>
      <c r="AH6" s="0" t="n">
        <f aca="false">AF6*Parameters!$C$7*Parameters!$C$12+AG6*Parameters!C6</f>
        <v>17.3125</v>
      </c>
      <c r="AK6" s="0" t="n">
        <v>2002</v>
      </c>
      <c r="AL6" s="89" t="s">
        <v>1369</v>
      </c>
      <c r="AM6" s="0" t="n">
        <f aca="false">32/1.6</f>
        <v>20</v>
      </c>
    </row>
    <row r="7" customFormat="false" ht="15.75" hidden="false" customHeight="false" outlineLevel="0" collapsed="false">
      <c r="B7" s="0" t="s">
        <v>1373</v>
      </c>
      <c r="C7" s="89" t="s">
        <v>1374</v>
      </c>
      <c r="D7" s="0" t="n">
        <v>1.52</v>
      </c>
      <c r="E7" s="115" t="n">
        <f aca="false">D7*Parameters!$C$7*Parameters!$C$12/'Deng data'!$I$11</f>
        <v>16.4819277108434</v>
      </c>
      <c r="G7" s="115" t="n">
        <f aca="false">D7*Parameters!$C$8</f>
        <v>0.722</v>
      </c>
      <c r="H7" s="115" t="n">
        <f aca="false">G7/'Scopes ratios details'!$F$61</f>
        <v>1.07781162346883</v>
      </c>
      <c r="J7" s="0" t="n">
        <v>1998</v>
      </c>
      <c r="K7" s="89" t="s">
        <v>1375</v>
      </c>
      <c r="L7" s="0" t="n">
        <v>18</v>
      </c>
      <c r="M7" s="222"/>
      <c r="O7" s="0" t="n">
        <v>1998</v>
      </c>
      <c r="P7" s="89" t="s">
        <v>1171</v>
      </c>
      <c r="Q7" s="0" t="n">
        <v>2.7</v>
      </c>
      <c r="R7" s="0" t="n">
        <v>2.1</v>
      </c>
      <c r="S7" s="115" t="n">
        <f aca="false">Q7*Parameters!C7+R7*Parameters!$C$7*Parameters!$C$12</f>
        <v>25.65</v>
      </c>
      <c r="V7" s="261"/>
      <c r="W7" s="261"/>
      <c r="X7" s="261"/>
      <c r="Y7" s="261"/>
      <c r="Z7" s="261"/>
      <c r="AA7" s="261"/>
    </row>
    <row r="8" customFormat="false" ht="15.75" hidden="false" customHeight="false" outlineLevel="0" collapsed="false">
      <c r="B8" s="0" t="n">
        <v>1997</v>
      </c>
      <c r="C8" s="89" t="s">
        <v>1376</v>
      </c>
      <c r="D8" s="0" t="n">
        <v>1.44</v>
      </c>
      <c r="E8" s="115" t="n">
        <f aca="false">D8*Parameters!$C$7*Parameters!$C$12/'Deng data'!$I$11</f>
        <v>15.6144578313253</v>
      </c>
      <c r="G8" s="115" t="n">
        <f aca="false">D8*Parameters!$C$8</f>
        <v>0.684</v>
      </c>
      <c r="H8" s="115" t="n">
        <f aca="false">G8/'Scopes ratios details'!$F$61</f>
        <v>1.02108469591784</v>
      </c>
      <c r="J8" s="0" t="n">
        <v>1998</v>
      </c>
      <c r="K8" s="89" t="s">
        <v>1377</v>
      </c>
      <c r="L8" s="0" t="n">
        <v>27</v>
      </c>
      <c r="O8" s="0" t="n">
        <v>1999</v>
      </c>
      <c r="P8" s="89" t="s">
        <v>1174</v>
      </c>
      <c r="Q8" s="0" t="n">
        <v>2.7</v>
      </c>
      <c r="R8" s="0" t="n">
        <v>1.2</v>
      </c>
      <c r="S8" s="115" t="n">
        <f aca="false">Q8*Parameters!C8+R8*Parameters!$C$7*Parameters!$C$12</f>
        <v>12.0825</v>
      </c>
      <c r="V8" s="261"/>
      <c r="W8" s="261"/>
      <c r="X8" s="261"/>
      <c r="Y8" s="261"/>
      <c r="Z8" s="261"/>
      <c r="AA8" s="261"/>
    </row>
    <row r="9" customFormat="false" ht="15.75" hidden="false" customHeight="false" outlineLevel="0" collapsed="false">
      <c r="B9" s="0" t="n">
        <v>1993</v>
      </c>
      <c r="C9" s="89" t="s">
        <v>1063</v>
      </c>
      <c r="D9" s="0" t="n">
        <v>1.6</v>
      </c>
      <c r="E9" s="115" t="n">
        <f aca="false">D9*Parameters!$C$7*Parameters!$C$12/'Deng data'!$I$11</f>
        <v>17.3493975903614</v>
      </c>
      <c r="G9" s="115" t="n">
        <f aca="false">D9*Parameters!$C$8</f>
        <v>0.76</v>
      </c>
      <c r="H9" s="115" t="n">
        <f aca="false">G9/'Scopes ratios details'!$F$61</f>
        <v>1.13453855101982</v>
      </c>
      <c r="J9" s="0" t="n">
        <v>1996</v>
      </c>
      <c r="K9" s="89" t="s">
        <v>1378</v>
      </c>
      <c r="L9" s="0" t="n">
        <v>5</v>
      </c>
      <c r="O9" s="0" t="s">
        <v>1379</v>
      </c>
      <c r="P9" s="89" t="s">
        <v>256</v>
      </c>
      <c r="R9" s="0" t="n">
        <v>1.4</v>
      </c>
      <c r="S9" s="115" t="n">
        <f aca="false">Q9*Parameters!C9+R9*Parameters!$C$7*Parameters!$C$12</f>
        <v>12.6</v>
      </c>
      <c r="V9" s="261"/>
      <c r="W9" s="261"/>
      <c r="X9" s="261"/>
      <c r="Y9" s="261"/>
      <c r="Z9" s="261"/>
      <c r="AA9" s="261"/>
    </row>
    <row r="10" customFormat="false" ht="15.75" hidden="false" customHeight="false" outlineLevel="0" collapsed="false">
      <c r="J10" s="0" t="n">
        <v>1996</v>
      </c>
      <c r="K10" s="89" t="s">
        <v>1380</v>
      </c>
      <c r="L10" s="0" t="n">
        <v>29</v>
      </c>
      <c r="V10" s="261"/>
      <c r="W10" s="261"/>
      <c r="X10" s="261"/>
      <c r="Y10" s="261"/>
      <c r="Z10" s="261"/>
      <c r="AA10" s="261"/>
    </row>
    <row r="11" customFormat="false" ht="18.75" hidden="false" customHeight="true" outlineLevel="0" collapsed="false">
      <c r="J11" s="0" t="n">
        <v>1996</v>
      </c>
      <c r="K11" s="89" t="s">
        <v>1381</v>
      </c>
      <c r="L11" s="0" t="n">
        <v>17</v>
      </c>
      <c r="O11" s="261" t="s">
        <v>1382</v>
      </c>
      <c r="P11" s="261"/>
      <c r="Q11" s="261"/>
      <c r="R11" s="261"/>
      <c r="S11" s="261"/>
      <c r="T11" s="261"/>
      <c r="V11" s="261"/>
      <c r="W11" s="261"/>
      <c r="X11" s="261"/>
      <c r="Y11" s="261"/>
      <c r="Z11" s="261"/>
      <c r="AA11" s="261"/>
    </row>
    <row r="12" customFormat="false" ht="15.75" hidden="false" customHeight="false" outlineLevel="0" collapsed="false">
      <c r="J12" s="0" t="n">
        <v>1993</v>
      </c>
      <c r="K12" s="89" t="s">
        <v>1063</v>
      </c>
      <c r="L12" s="0" t="n">
        <v>58</v>
      </c>
      <c r="M12" s="108" t="s">
        <v>1064</v>
      </c>
      <c r="O12" s="261"/>
      <c r="P12" s="261"/>
      <c r="Q12" s="261"/>
      <c r="R12" s="261"/>
      <c r="S12" s="261"/>
      <c r="T12" s="261"/>
      <c r="V12" s="261"/>
      <c r="W12" s="261"/>
      <c r="X12" s="261"/>
      <c r="Y12" s="261"/>
      <c r="Z12" s="261"/>
      <c r="AA12" s="261"/>
    </row>
    <row r="13" customFormat="false" ht="15.75" hidden="false" customHeight="false" outlineLevel="0" collapsed="false">
      <c r="O13" s="261"/>
      <c r="P13" s="261"/>
      <c r="Q13" s="261"/>
      <c r="R13" s="261"/>
      <c r="S13" s="261"/>
      <c r="T13" s="261"/>
    </row>
    <row r="14" customFormat="false" ht="15.75" hidden="false" customHeight="false" outlineLevel="0" collapsed="false">
      <c r="O14" s="348"/>
      <c r="P14" s="348"/>
      <c r="Q14" s="348"/>
      <c r="R14" s="348"/>
      <c r="S14" s="348"/>
    </row>
    <row r="21" customFormat="false" ht="82.5" hidden="false" customHeight="true" outlineLevel="0" collapsed="false">
      <c r="AE21" s="261" t="s">
        <v>1383</v>
      </c>
      <c r="AF21" s="261"/>
      <c r="AG21" s="261"/>
      <c r="AH21" s="261"/>
      <c r="AI21" s="261"/>
      <c r="AJ21" s="261"/>
      <c r="AK21" s="261"/>
    </row>
  </sheetData>
  <mergeCells count="9">
    <mergeCell ref="B4:D4"/>
    <mergeCell ref="G4:H4"/>
    <mergeCell ref="J4:L4"/>
    <mergeCell ref="O4:Q4"/>
    <mergeCell ref="AE4:AG4"/>
    <mergeCell ref="AK4:AM4"/>
    <mergeCell ref="V6:AA12"/>
    <mergeCell ref="O11:T13"/>
    <mergeCell ref="AE21:AK21"/>
  </mergeCells>
  <hyperlinks>
    <hyperlink ref="C2" r:id="rId1" display="https://doi.org/10.1021/es025643o"/>
    <hyperlink ref="P2" r:id="rId2" display="https://doi.org/10.1021/es035152j"/>
    <hyperlink ref="W2" r:id="rId3" display="https://doi.org/10.1109/ISEE.2004.1299692"/>
    <hyperlink ref="AE2" r:id="rId4" display="https://doi.org/10.1016/j.tsf.2004.02.049"/>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5"/>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I2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J13" activeCellId="0" sqref="J13"/>
    </sheetView>
  </sheetViews>
  <sheetFormatPr defaultColWidth="8.5" defaultRowHeight="15.75" zeroHeight="false" outlineLevelRow="0" outlineLevelCol="0"/>
  <cols>
    <col collapsed="false" customWidth="true" hidden="false" outlineLevel="0" max="1" min="1" style="257" width="1.26"/>
    <col collapsed="false" customWidth="true" hidden="false" outlineLevel="0" max="8" min="7" style="0" width="19.5"/>
    <col collapsed="false" customWidth="true" hidden="false" outlineLevel="0" max="14" min="14" style="257" width="1.26"/>
  </cols>
  <sheetData>
    <row r="2" customFormat="false" ht="15.75" hidden="false" customHeight="false" outlineLevel="0" collapsed="false">
      <c r="B2" s="92" t="s">
        <v>508</v>
      </c>
      <c r="C2" s="220" t="s">
        <v>253</v>
      </c>
    </row>
    <row r="3" customFormat="false" ht="15.75" hidden="false" customHeight="false" outlineLevel="0" collapsed="false">
      <c r="C3" s="0" t="s">
        <v>1384</v>
      </c>
    </row>
    <row r="4" customFormat="false" ht="21" hidden="false" customHeight="false" outlineLevel="0" collapsed="false">
      <c r="B4" s="259" t="s">
        <v>556</v>
      </c>
      <c r="C4" s="259"/>
      <c r="D4" s="259"/>
    </row>
    <row r="5" customFormat="false" ht="47.25" hidden="false" customHeight="false" outlineLevel="0" collapsed="false">
      <c r="D5" s="111" t="s">
        <v>1001</v>
      </c>
      <c r="E5" s="111" t="s">
        <v>553</v>
      </c>
      <c r="G5" s="271" t="s">
        <v>1056</v>
      </c>
      <c r="H5" s="271" t="s">
        <v>1057</v>
      </c>
    </row>
    <row r="6" customFormat="false" ht="15.75" hidden="false" customHeight="false" outlineLevel="0" collapsed="false">
      <c r="B6" s="0" t="n">
        <v>2008</v>
      </c>
      <c r="C6" s="89" t="s">
        <v>1385</v>
      </c>
      <c r="D6" s="0" t="n">
        <v>1.04</v>
      </c>
      <c r="E6" s="115" t="n">
        <f aca="false">D6*Parameters!$C$7*Parameters!$C$12/'Deng data'!$I$11</f>
        <v>11.2771084337349</v>
      </c>
      <c r="G6" s="115" t="n">
        <f aca="false">D6*Parameters!$C$8</f>
        <v>0.494</v>
      </c>
      <c r="H6" s="115" t="n">
        <f aca="false">G6/'Scopes ratios details'!$F$61</f>
        <v>0.737450058162881</v>
      </c>
    </row>
    <row r="7" customFormat="false" ht="15.75" hidden="false" customHeight="false" outlineLevel="0" collapsed="false">
      <c r="B7" s="0" t="n">
        <v>2007</v>
      </c>
      <c r="C7" s="89" t="s">
        <v>1385</v>
      </c>
      <c r="D7" s="0" t="n">
        <v>1.04</v>
      </c>
      <c r="E7" s="115" t="n">
        <f aca="false">D7*Parameters!$C$7*Parameters!$C$12/'Deng data'!$I$11</f>
        <v>11.2771084337349</v>
      </c>
      <c r="G7" s="115" t="n">
        <f aca="false">D7*Parameters!$C$8</f>
        <v>0.494</v>
      </c>
      <c r="H7" s="115" t="n">
        <f aca="false">G7/'Scopes ratios details'!$F$61</f>
        <v>0.737450058162881</v>
      </c>
    </row>
    <row r="8" customFormat="false" ht="15.75" hidden="false" customHeight="false" outlineLevel="0" collapsed="false">
      <c r="B8" s="0" t="n">
        <v>2006</v>
      </c>
      <c r="C8" s="89" t="s">
        <v>1385</v>
      </c>
      <c r="D8" s="0" t="n">
        <v>1.25</v>
      </c>
      <c r="E8" s="115" t="n">
        <f aca="false">D8*Parameters!$C$7*Parameters!$C$12/'Deng data'!$I$11</f>
        <v>13.5542168674699</v>
      </c>
      <c r="G8" s="115" t="n">
        <f aca="false">D8*Parameters!$C$8</f>
        <v>0.59375</v>
      </c>
      <c r="H8" s="115" t="n">
        <f aca="false">G8/'Scopes ratios details'!$F$61</f>
        <v>0.886358242984232</v>
      </c>
    </row>
    <row r="9" customFormat="false" ht="15.75" hidden="false" customHeight="false" outlineLevel="0" collapsed="false">
      <c r="B9" s="0" t="n">
        <v>2005</v>
      </c>
      <c r="C9" s="89" t="s">
        <v>1385</v>
      </c>
      <c r="D9" s="0" t="n">
        <v>1.36</v>
      </c>
      <c r="E9" s="115" t="n">
        <f aca="false">D9*Parameters!$C$7*Parameters!$C$12/'Deng data'!$I$11</f>
        <v>14.7469879518072</v>
      </c>
      <c r="G9" s="115" t="n">
        <f aca="false">D9*Parameters!$C$8</f>
        <v>0.646</v>
      </c>
      <c r="H9" s="115" t="n">
        <f aca="false">G9/'Scopes ratios details'!$F$61</f>
        <v>0.964357768366844</v>
      </c>
    </row>
    <row r="10" customFormat="false" ht="15.75" hidden="false" customHeight="false" outlineLevel="0" collapsed="false">
      <c r="B10" s="0" t="n">
        <v>2004</v>
      </c>
      <c r="C10" s="89" t="s">
        <v>1385</v>
      </c>
      <c r="D10" s="0" t="n">
        <v>1.4</v>
      </c>
      <c r="E10" s="115" t="n">
        <f aca="false">D10*Parameters!$C$7*Parameters!$C$12/'Deng data'!$I$11</f>
        <v>15.1807228915663</v>
      </c>
      <c r="G10" s="115" t="n">
        <f aca="false">D10*Parameters!$C$8</f>
        <v>0.665</v>
      </c>
      <c r="H10" s="115" t="n">
        <f aca="false">G10/'Scopes ratios details'!$F$61</f>
        <v>0.99272123214234</v>
      </c>
    </row>
    <row r="11" customFormat="false" ht="15.75" hidden="false" customHeight="false" outlineLevel="0" collapsed="false">
      <c r="B11" s="0" t="n">
        <v>2003</v>
      </c>
      <c r="C11" s="89" t="s">
        <v>1385</v>
      </c>
      <c r="D11" s="0" t="n">
        <v>1.52</v>
      </c>
      <c r="E11" s="115" t="n">
        <f aca="false">D11*Parameters!$C$7*Parameters!$C$12/'Deng data'!$I$11</f>
        <v>16.4819277108434</v>
      </c>
      <c r="G11" s="115" t="n">
        <f aca="false">D11*Parameters!$C$8</f>
        <v>0.722</v>
      </c>
      <c r="H11" s="115" t="n">
        <f aca="false">G11/'Scopes ratios details'!$F$61</f>
        <v>1.07781162346883</v>
      </c>
    </row>
    <row r="12" customFormat="false" ht="15.75" hidden="false" customHeight="false" outlineLevel="0" collapsed="false">
      <c r="B12" s="0" t="n">
        <v>2002</v>
      </c>
      <c r="C12" s="89" t="s">
        <v>1385</v>
      </c>
      <c r="D12" s="0" t="n">
        <v>1.6</v>
      </c>
      <c r="E12" s="115" t="n">
        <f aca="false">D12*Parameters!$C$7*Parameters!$C$12/'Deng data'!$I$11</f>
        <v>17.3493975903614</v>
      </c>
      <c r="G12" s="115" t="n">
        <f aca="false">D12*Parameters!$C$8</f>
        <v>0.76</v>
      </c>
      <c r="H12" s="115" t="n">
        <f aca="false">G12/'Scopes ratios details'!$F$61</f>
        <v>1.13453855101982</v>
      </c>
    </row>
    <row r="13" customFormat="false" ht="15.75" hidden="false" customHeight="false" outlineLevel="0" collapsed="false">
      <c r="B13" s="0" t="n">
        <v>2001</v>
      </c>
      <c r="C13" s="89" t="s">
        <v>1385</v>
      </c>
      <c r="D13" s="0" t="n">
        <v>1.65</v>
      </c>
      <c r="E13" s="115" t="n">
        <f aca="false">D13*Parameters!$C$7*Parameters!$C$12/'Deng data'!$I$11</f>
        <v>17.8915662650602</v>
      </c>
      <c r="G13" s="115" t="n">
        <f aca="false">D13*Parameters!$C$8</f>
        <v>0.78375</v>
      </c>
      <c r="H13" s="115" t="n">
        <f aca="false">G13/'Scopes ratios details'!$F$61</f>
        <v>1.16999288073919</v>
      </c>
    </row>
    <row r="17" customFormat="false" ht="15.75" hidden="false" customHeight="false" outlineLevel="0" collapsed="false">
      <c r="H17" s="316" t="s">
        <v>1386</v>
      </c>
      <c r="I17" s="316"/>
    </row>
    <row r="18" customFormat="false" ht="15.75" hidden="false" customHeight="false" outlineLevel="0" collapsed="false">
      <c r="H18" s="316" t="s">
        <v>1387</v>
      </c>
      <c r="I18" s="316"/>
    </row>
    <row r="19" customFormat="false" ht="15.75" hidden="false" customHeight="false" outlineLevel="0" collapsed="false">
      <c r="H19" s="316" t="s">
        <v>1388</v>
      </c>
      <c r="I19" s="316"/>
    </row>
    <row r="20" customFormat="false" ht="15.75" hidden="false" customHeight="false" outlineLevel="0" collapsed="false">
      <c r="H20" s="316" t="s">
        <v>1389</v>
      </c>
      <c r="I20" s="316"/>
    </row>
    <row r="21" customFormat="false" ht="15.75" hidden="false" customHeight="false" outlineLevel="0" collapsed="false">
      <c r="H21" s="316" t="s">
        <v>1390</v>
      </c>
      <c r="I21" s="316"/>
    </row>
    <row r="22" customFormat="false" ht="15.75" hidden="false" customHeight="false" outlineLevel="0" collapsed="false">
      <c r="H22" s="316" t="s">
        <v>1391</v>
      </c>
      <c r="I22" s="316"/>
    </row>
    <row r="23" customFormat="false" ht="15.75" hidden="false" customHeight="false" outlineLevel="0" collapsed="false">
      <c r="H23" s="316" t="s">
        <v>1392</v>
      </c>
      <c r="I23" s="316"/>
    </row>
    <row r="24" customFormat="false" ht="15.75" hidden="false" customHeight="false" outlineLevel="0" collapsed="false">
      <c r="H24" s="316" t="s">
        <v>1393</v>
      </c>
      <c r="I24" s="316"/>
    </row>
  </sheetData>
  <mergeCells count="1">
    <mergeCell ref="B4:D4"/>
  </mergeCells>
  <hyperlinks>
    <hyperlink ref="C2" r:id="rId1" display="https://doi.org/10.1021/es903297k"/>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2"/>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DBDBDB"/>
    <pageSetUpPr fitToPage="false"/>
  </sheetPr>
  <dimension ref="B2:M28"/>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C11" activeCellId="0" sqref="C11"/>
    </sheetView>
  </sheetViews>
  <sheetFormatPr defaultColWidth="8.5" defaultRowHeight="15.75" zeroHeight="false" outlineLevelRow="0" outlineLevelCol="0"/>
  <cols>
    <col collapsed="false" customWidth="true" hidden="false" outlineLevel="0" max="1" min="1" style="0" width="4.25"/>
    <col collapsed="false" customWidth="true" hidden="false" outlineLevel="0" max="2" min="2" style="0" width="45.5"/>
    <col collapsed="false" customWidth="true" hidden="false" outlineLevel="0" max="3" min="3" style="0" width="12.88"/>
    <col collapsed="false" customWidth="true" hidden="false" outlineLevel="0" max="12" min="4" style="0" width="11.63"/>
    <col collapsed="false" customWidth="true" hidden="false" outlineLevel="0" max="13" min="13" style="0" width="10.89"/>
    <col collapsed="false" customWidth="true" hidden="false" outlineLevel="0" max="14" min="14" style="0" width="7.37"/>
  </cols>
  <sheetData>
    <row r="2" customFormat="false" ht="15.75" hidden="false" customHeight="false" outlineLevel="0" collapsed="false">
      <c r="B2" s="92" t="s">
        <v>508</v>
      </c>
      <c r="C2" s="0" t="s">
        <v>1394</v>
      </c>
    </row>
    <row r="3" customFormat="false" ht="15.75" hidden="false" customHeight="false" outlineLevel="0" collapsed="false">
      <c r="B3" s="349" t="s">
        <v>1395</v>
      </c>
      <c r="C3" s="350" t="n">
        <v>2011</v>
      </c>
      <c r="D3" s="350" t="n">
        <v>2012</v>
      </c>
      <c r="E3" s="350" t="n">
        <v>2013</v>
      </c>
      <c r="F3" s="350" t="n">
        <v>2014</v>
      </c>
      <c r="G3" s="350" t="n">
        <v>2015</v>
      </c>
      <c r="H3" s="350" t="n">
        <v>2016</v>
      </c>
      <c r="I3" s="350" t="n">
        <v>2017</v>
      </c>
      <c r="J3" s="350" t="n">
        <v>2018</v>
      </c>
      <c r="K3" s="350" t="n">
        <v>2019</v>
      </c>
      <c r="L3" s="232" t="n">
        <v>2020</v>
      </c>
      <c r="M3" s="351" t="s">
        <v>1396</v>
      </c>
    </row>
    <row r="4" customFormat="false" ht="15.75" hidden="false" customHeight="false" outlineLevel="0" collapsed="false">
      <c r="B4" s="352" t="s">
        <v>256</v>
      </c>
      <c r="C4" s="353" t="n">
        <f aca="false">SUMIFS('Industries data'!$AL:$AL,'Industries data'!$B:$B,'Industry shares details'!$B4,'Industries data'!$C:$C,'Industry shares details'!C$3)</f>
        <v>1417082596.48446</v>
      </c>
      <c r="D4" s="353" t="n">
        <f aca="false">SUMIFS('Industries data'!$AL:$AL,'Industries data'!$B:$B,'Industry shares details'!$B4,'Industries data'!$C:$C,'Industry shares details'!D$3)</f>
        <v>1469939453.05814</v>
      </c>
      <c r="E4" s="353" t="n">
        <f aca="false">SUMIFS('Industries data'!$AL:$AL,'Industries data'!$B:$B,'Industry shares details'!$B4,'Industries data'!$C:$C,'Industry shares details'!E$3)</f>
        <v>1629807123.55398</v>
      </c>
      <c r="F4" s="353" t="n">
        <f aca="false">SUMIFS('Industries data'!$AL:$AL,'Industries data'!$B:$B,'Industry shares details'!$B4,'Industries data'!$C:$C,'Industry shares details'!F$3)</f>
        <v>1825345065.35722</v>
      </c>
      <c r="G4" s="353" t="n">
        <f aca="false">SUMIFS('Industries data'!$AL:$AL,'Industries data'!$B:$B,'Industry shares details'!$B4,'Industries data'!$C:$C,'Industry shares details'!G$3)</f>
        <v>1926194650.59902</v>
      </c>
      <c r="H4" s="353" t="n">
        <f aca="false">SUMIFS('Industries data'!$AL:$AL,'Industries data'!$B:$B,'Industry shares details'!$B4,'Industries data'!$C:$C,'Industry shares details'!H$3)</f>
        <v>2007263449.0249</v>
      </c>
      <c r="I4" s="353" t="n">
        <f aca="false">SUMIFS('Industries data'!$AL:$AL,'Industries data'!$B:$B,'Industry shares details'!$B4,'Industries data'!$C:$C,'Industry shares details'!I$3)</f>
        <v>2236201735.7796</v>
      </c>
      <c r="J4" s="353" t="n">
        <f aca="false">SUMIFS('Industries data'!$AL:$AL,'Industries data'!$B:$B,'Industry shares details'!$B4,'Industries data'!$C:$C,'Industry shares details'!J$3)</f>
        <v>2316297708.62437</v>
      </c>
      <c r="K4" s="353" t="n">
        <f aca="false">SUMIFS('Industries data'!$AL:$AL,'Industries data'!$B:$B,'Industry shares details'!$B4,'Industries data'!$C:$C,'Industry shares details'!K$3)</f>
        <v>2343536824.89547</v>
      </c>
      <c r="L4" s="353" t="n">
        <f aca="false">SUMIFS('Industries data'!$AL:$AL,'Industries data'!$B:$B,'Industry shares details'!$B4,'Industries data'!$C:$C,'Industry shares details'!L$3)</f>
        <v>2886697774.3489</v>
      </c>
      <c r="M4" s="354" t="n">
        <f aca="false">SUM(C4:L4)/SUM($C$9:$L$9)</f>
        <v>0.163335623243903</v>
      </c>
    </row>
    <row r="5" customFormat="false" ht="15.75" hidden="false" customHeight="false" outlineLevel="0" collapsed="false">
      <c r="B5" s="352" t="s">
        <v>272</v>
      </c>
      <c r="C5" s="353" t="n">
        <f aca="false">SUMIFS('Industries data'!$AL:$AL,'Industries data'!$B:$B,'Industry shares details'!$B5,'Industries data'!$C:$C,'Industry shares details'!C$3)</f>
        <v>4075360924.38859</v>
      </c>
      <c r="D5" s="353" t="n">
        <f aca="false">SUMIFS('Industries data'!$AL:$AL,'Industries data'!$B:$B,'Industry shares details'!$B5,'Industries data'!$C:$C,'Industry shares details'!D$3)</f>
        <v>4673648656.77162</v>
      </c>
      <c r="E5" s="353" t="n">
        <f aca="false">SUMIFS('Industries data'!$AL:$AL,'Industries data'!$B:$B,'Industry shares details'!$B5,'Industries data'!$C:$C,'Industry shares details'!E$3)</f>
        <v>5079608771.76908</v>
      </c>
      <c r="F5" s="353" t="n">
        <f aca="false">SUMIFS('Industries data'!$AL:$AL,'Industries data'!$B:$B,'Industry shares details'!$B5,'Industries data'!$C:$C,'Industry shares details'!F$3)</f>
        <v>5253258137.99732</v>
      </c>
      <c r="G5" s="353" t="n">
        <f aca="false">SUMIFS('Industries data'!$AL:$AL,'Industries data'!$B:$B,'Industry shares details'!$B5,'Industries data'!$C:$C,'Industry shares details'!G$3)</f>
        <v>5909915405.24699</v>
      </c>
      <c r="H5" s="353" t="n">
        <f aca="false">SUMIFS('Industries data'!$AL:$AL,'Industries data'!$B:$B,'Industry shares details'!$B5,'Industries data'!$C:$C,'Industry shares details'!H$3)</f>
        <v>6566572672.49665</v>
      </c>
      <c r="I5" s="353" t="n">
        <f aca="false">SUMIFS('Industries data'!$AL:$AL,'Industries data'!$B:$B,'Industry shares details'!$B5,'Industries data'!$C:$C,'Industry shares details'!I$3)</f>
        <v>7223229939.74632</v>
      </c>
      <c r="J5" s="353" t="n">
        <f aca="false">SUMIFS('Industries data'!$AL:$AL,'Industries data'!$B:$B,'Industry shares details'!$B5,'Industries data'!$C:$C,'Industry shares details'!J$3)</f>
        <v>7879887206.99598</v>
      </c>
      <c r="K5" s="353" t="n">
        <f aca="false">SUMIFS('Industries data'!$AL:$AL,'Industries data'!$B:$B,'Industry shares details'!$B5,'Industries data'!$C:$C,'Industry shares details'!K$3)</f>
        <v>8076884387.17088</v>
      </c>
      <c r="L5" s="353" t="n">
        <f aca="false">SUMIFS('Industries data'!$AL:$AL,'Industries data'!$B:$B,'Industry shares details'!$B5,'Industries data'!$C:$C,'Industry shares details'!L$3)</f>
        <v>8536544474.24565</v>
      </c>
      <c r="M5" s="354" t="n">
        <f aca="false">SUM(C5:L5)/SUM($C$9:$L$9)</f>
        <v>0.515248687659042</v>
      </c>
    </row>
    <row r="6" customFormat="false" ht="15.75" hidden="false" customHeight="false" outlineLevel="0" collapsed="false">
      <c r="B6" s="352" t="s">
        <v>291</v>
      </c>
      <c r="C6" s="353" t="n">
        <f aca="false">SUMIFS('Industries data'!$AL:$AL,'Industries data'!$B:$B,'Industry shares details'!$B6,'Industries data'!$C:$C,'Industry shares details'!C$3)</f>
        <v>1539131458.47244</v>
      </c>
      <c r="D6" s="353" t="n">
        <f aca="false">SUMIFS('Industries data'!$AL:$AL,'Industries data'!$B:$B,'Industry shares details'!$B6,'Industries data'!$C:$C,'Industry shares details'!D$3)</f>
        <v>1468429991.64329</v>
      </c>
      <c r="E6" s="353" t="n">
        <f aca="false">SUMIFS('Industries data'!$AL:$AL,'Industries data'!$B:$B,'Industry shares details'!$B6,'Industries data'!$C:$C,'Industry shares details'!E$3)</f>
        <v>1653198267.69497</v>
      </c>
      <c r="F6" s="353" t="n">
        <f aca="false">SUMIFS('Industries data'!$AL:$AL,'Industries data'!$B:$B,'Industry shares details'!$B6,'Industries data'!$C:$C,'Industry shares details'!F$3)</f>
        <v>1640129316.56661</v>
      </c>
      <c r="G6" s="353" t="n">
        <f aca="false">SUMIFS('Industries data'!$AL:$AL,'Industries data'!$B:$B,'Industry shares details'!$B6,'Industries data'!$C:$C,'Industry shares details'!G$3)</f>
        <v>1646198053.82693</v>
      </c>
      <c r="H6" s="353" t="n">
        <f aca="false">SUMIFS('Industries data'!$AL:$AL,'Industries data'!$B:$B,'Industry shares details'!$B6,'Industries data'!$C:$C,'Industry shares details'!H$3)</f>
        <v>1607148965.27045</v>
      </c>
      <c r="I6" s="353" t="n">
        <f aca="false">SUMIFS('Industries data'!$AL:$AL,'Industries data'!$B:$B,'Industry shares details'!$B6,'Industries data'!$C:$C,'Industry shares details'!I$3)</f>
        <v>1851481645.96972</v>
      </c>
      <c r="J6" s="353" t="n">
        <f aca="false">SUMIFS('Industries data'!$AL:$AL,'Industries data'!$B:$B,'Industry shares details'!$B6,'Industries data'!$C:$C,'Industry shares details'!J$3)</f>
        <v>1987164619.62888</v>
      </c>
      <c r="K6" s="353" t="n">
        <f aca="false">SUMIFS('Industries data'!$AL:$AL,'Industries data'!$B:$B,'Industry shares details'!$B6,'Industries data'!$C:$C,'Industry shares details'!K$3)</f>
        <v>1918760623.19669</v>
      </c>
      <c r="L6" s="353" t="n">
        <f aca="false">SUMIFS('Industries data'!$AL:$AL,'Industries data'!$B:$B,'Industry shares details'!$B6,'Industries data'!$C:$C,'Industry shares details'!L$3)</f>
        <v>1766161108.79053</v>
      </c>
      <c r="M6" s="354" t="n">
        <f aca="false">SUM(C6:L6)/SUM($C$9:$L$9)</f>
        <v>0.139064852801696</v>
      </c>
    </row>
    <row r="7" customFormat="false" ht="15.75" hidden="false" customHeight="false" outlineLevel="0" collapsed="false">
      <c r="B7" s="352" t="s">
        <v>303</v>
      </c>
      <c r="C7" s="353" t="n">
        <f aca="false">SUMIFS('Industries data'!$AL:$AL,'Industries data'!$B:$B,'Industry shares details'!$B7,'Industries data'!$C:$C,'Industry shares details'!C$3)</f>
        <v>535206122.7</v>
      </c>
      <c r="D7" s="353" t="n">
        <f aca="false">SUMIFS('Industries data'!$AL:$AL,'Industries data'!$B:$B,'Industry shares details'!$B7,'Industries data'!$C:$C,'Industry shares details'!D$3)</f>
        <v>696581255</v>
      </c>
      <c r="E7" s="353" t="n">
        <f aca="false">SUMIFS('Industries data'!$AL:$AL,'Industries data'!$B:$B,'Industry shares details'!$B7,'Industries data'!$C:$C,'Industry shares details'!E$3)</f>
        <v>808683334</v>
      </c>
      <c r="F7" s="353" t="n">
        <f aca="false">SUMIFS('Industries data'!$AL:$AL,'Industries data'!$B:$B,'Industry shares details'!$B7,'Industries data'!$C:$C,'Industry shares details'!F$3)</f>
        <v>804010529.1</v>
      </c>
      <c r="G7" s="353" t="n">
        <f aca="false">SUMIFS('Industries data'!$AL:$AL,'Industries data'!$B:$B,'Industry shares details'!$B7,'Industries data'!$C:$C,'Industry shares details'!G$3)</f>
        <v>947493662.9</v>
      </c>
      <c r="H7" s="353" t="n">
        <f aca="false">SUMIFS('Industries data'!$AL:$AL,'Industries data'!$B:$B,'Industry shares details'!$B7,'Industries data'!$C:$C,'Industry shares details'!H$3)</f>
        <v>1243343412</v>
      </c>
      <c r="I7" s="353" t="n">
        <f aca="false">SUMIFS('Industries data'!$AL:$AL,'Industries data'!$B:$B,'Industry shares details'!$B7,'Industries data'!$C:$C,'Industry shares details'!I$3)</f>
        <v>1354271164</v>
      </c>
      <c r="J7" s="353" t="n">
        <f aca="false">SUMIFS('Industries data'!$AL:$AL,'Industries data'!$B:$B,'Industry shares details'!$B7,'Industries data'!$C:$C,'Industry shares details'!J$3)</f>
        <v>1531420547</v>
      </c>
      <c r="K7" s="353" t="n">
        <f aca="false">SUMIFS('Industries data'!$AL:$AL,'Industries data'!$B:$B,'Industry shares details'!$B7,'Industries data'!$C:$C,'Industry shares details'!K$3)</f>
        <v>1579842857</v>
      </c>
      <c r="L7" s="353" t="n">
        <f aca="false">SUMIFS('Industries data'!$AL:$AL,'Industries data'!$B:$B,'Industry shares details'!$B7,'Industries data'!$C:$C,'Industry shares details'!L$3)</f>
        <v>1790275529</v>
      </c>
      <c r="M7" s="354" t="n">
        <f aca="false">SUM(C7:L7)/SUM($C$9:$L$9)</f>
        <v>0.0919438533187563</v>
      </c>
    </row>
    <row r="8" customFormat="false" ht="15.75" hidden="false" customHeight="false" outlineLevel="0" collapsed="false">
      <c r="B8" s="352" t="s">
        <v>317</v>
      </c>
      <c r="C8" s="353" t="n">
        <f aca="false">SUMIFS('Industries data'!$AL:$AL,'Industries data'!$B:$B,'Industry shares details'!$B8,'Industries data'!$C:$C,'Industry shares details'!C$3)</f>
        <v>878802730.057173</v>
      </c>
      <c r="D8" s="353" t="n">
        <f aca="false">SUMIFS('Industries data'!$AL:$AL,'Industries data'!$B:$B,'Industry shares details'!$B8,'Industries data'!$C:$C,'Industry shares details'!D$3)</f>
        <v>930447744.371206</v>
      </c>
      <c r="E8" s="353" t="n">
        <f aca="false">SUMIFS('Industries data'!$AL:$AL,'Industries data'!$B:$B,'Industry shares details'!$B8,'Industries data'!$C:$C,'Industry shares details'!E$3)</f>
        <v>982651083.16431</v>
      </c>
      <c r="F8" s="353" t="n">
        <f aca="false">SUMIFS('Industries data'!$AL:$AL,'Industries data'!$B:$B,'Industry shares details'!$B8,'Industries data'!$C:$C,'Industry shares details'!F$3)</f>
        <v>855655921.992651</v>
      </c>
      <c r="G8" s="353" t="n">
        <f aca="false">SUMIFS('Industries data'!$AL:$AL,'Industries data'!$B:$B,'Industry shares details'!$B8,'Industries data'!$C:$C,'Industry shares details'!G$3)</f>
        <v>1051436658.98581</v>
      </c>
      <c r="H8" s="353" t="n">
        <f aca="false">SUMIFS('Industries data'!$AL:$AL,'Industries data'!$B:$B,'Industry shares details'!$B8,'Industries data'!$C:$C,'Industry shares details'!H$3)</f>
        <v>1135806466.82937</v>
      </c>
      <c r="I8" s="353" t="n">
        <f aca="false">SUMIFS('Industries data'!$AL:$AL,'Industries data'!$B:$B,'Industry shares details'!$B8,'Industries data'!$C:$C,'Industry shares details'!I$3)</f>
        <v>1273136534.94183</v>
      </c>
      <c r="J8" s="353" t="n">
        <f aca="false">SUMIFS('Industries data'!$AL:$AL,'Industries data'!$B:$B,'Industry shares details'!$B8,'Industries data'!$C:$C,'Industry shares details'!J$3)</f>
        <v>1316877101</v>
      </c>
      <c r="K8" s="353" t="n">
        <f aca="false">SUMIFS('Industries data'!$AL:$AL,'Industries data'!$B:$B,'Industry shares details'!$B8,'Industries data'!$C:$C,'Industry shares details'!K$3)</f>
        <v>1242656974</v>
      </c>
      <c r="L8" s="353" t="n">
        <f aca="false">SUMIFS('Industries data'!$AL:$AL,'Industries data'!$B:$B,'Industry shares details'!$B8,'Industries data'!$C:$C,'Industry shares details'!L$3)</f>
        <v>1434922445</v>
      </c>
      <c r="M8" s="354" t="n">
        <f aca="false">SUM(C8:L8)/SUM($C$9:$L$9)</f>
        <v>0.090406982976603</v>
      </c>
    </row>
    <row r="9" customFormat="false" ht="15.75" hidden="false" customHeight="false" outlineLevel="0" collapsed="false">
      <c r="B9" s="355" t="s">
        <v>1397</v>
      </c>
      <c r="C9" s="356" t="n">
        <f aca="false">SUMIF('Industries data'!$C:$C,C3,'Industries data'!$AL:$AL)</f>
        <v>8445583832.10267</v>
      </c>
      <c r="D9" s="356" t="n">
        <f aca="false">SUMIF('Industries data'!$C:$C,D3,'Industries data'!$AL:$AL)</f>
        <v>9239047100.84425</v>
      </c>
      <c r="E9" s="356" t="n">
        <f aca="false">SUMIF('Industries data'!$C:$C,E3,'Industries data'!$AL:$AL)</f>
        <v>10153948580.1823</v>
      </c>
      <c r="F9" s="356" t="n">
        <f aca="false">SUMIF('Industries data'!$C:$C,F3,'Industries data'!$AL:$AL)</f>
        <v>10378398971.0138</v>
      </c>
      <c r="G9" s="356" t="n">
        <f aca="false">SUMIF('Industries data'!$C:$C,G3,'Industries data'!$AL:$AL)</f>
        <v>11481238431.5587</v>
      </c>
      <c r="H9" s="356" t="n">
        <f aca="false">SUMIF('Industries data'!$C:$C,H3,'Industries data'!$AL:$AL)</f>
        <v>12560134965.6214</v>
      </c>
      <c r="I9" s="356" t="n">
        <f aca="false">SUMIF('Industries data'!$C:$C,I3,'Industries data'!$AL:$AL)</f>
        <v>13938321020.4375</v>
      </c>
      <c r="J9" s="356" t="n">
        <f aca="false">SUMIF('Industries data'!$C:$C,J3,'Industries data'!$AL:$AL)</f>
        <v>15031647183.2492</v>
      </c>
      <c r="K9" s="356" t="n">
        <f aca="false">SUMIF('Industries data'!$C:$C,K3,'Industries data'!$AL:$AL)</f>
        <v>15161681666.263</v>
      </c>
      <c r="L9" s="356" t="n">
        <f aca="false">SUMIF('Industries data'!$C:$C,L3,'Industries data'!$AL:$AL)</f>
        <v>16414601331.3851</v>
      </c>
      <c r="M9" s="354" t="n">
        <f aca="false">SUM(M4:M8)</f>
        <v>1</v>
      </c>
    </row>
    <row r="11" customFormat="false" ht="15.75" hidden="false" customHeight="false" outlineLevel="0" collapsed="false">
      <c r="B11" s="0" t="s">
        <v>1398</v>
      </c>
      <c r="C11" s="0" t="n">
        <f aca="false">1000000*'Worldwide production data'!H41</f>
        <v>58341818800</v>
      </c>
      <c r="D11" s="0" t="n">
        <f aca="false">1000000*'Worldwide production data'!H42</f>
        <v>58264399600</v>
      </c>
      <c r="E11" s="0" t="n">
        <f aca="false">1000000*'Worldwide production data'!H43</f>
        <v>58496657200</v>
      </c>
      <c r="F11" s="0" t="n">
        <f aca="false">1000000*'Worldwide production data'!H44</f>
        <v>65141805200</v>
      </c>
      <c r="G11" s="0" t="n">
        <f aca="false">1000000*'Worldwide production data'!H45</f>
        <v>67315994400</v>
      </c>
      <c r="H11" s="0" t="n">
        <f aca="false">1000000*'Worldwide production data'!H46</f>
        <v>69277280800</v>
      </c>
      <c r="I11" s="0" t="n">
        <f aca="false">1000000*'Worldwide production data'!H47</f>
        <v>76193396000</v>
      </c>
      <c r="J11" s="0" t="n">
        <f aca="false">1000000*'Worldwide production data'!H48</f>
        <v>82148222800</v>
      </c>
      <c r="K11" s="0" t="n">
        <f aca="false">1000000*'Worldwide production data'!H49</f>
        <v>76193396000</v>
      </c>
      <c r="L11" s="0" t="n">
        <f aca="false">1000000*'Worldwide production data'!H50</f>
        <v>80045001200</v>
      </c>
    </row>
    <row r="12" customFormat="false" ht="15.75" hidden="false" customHeight="false" outlineLevel="0" collapsed="false">
      <c r="B12" s="0" t="s">
        <v>1399</v>
      </c>
      <c r="C12" s="357" t="n">
        <f aca="false">C9/C11</f>
        <v>0.144760379532471</v>
      </c>
      <c r="D12" s="357" t="n">
        <f aca="false">D9/D11</f>
        <v>0.158571051349927</v>
      </c>
      <c r="E12" s="357" t="n">
        <f aca="false">E9/E11</f>
        <v>0.173581689385532</v>
      </c>
      <c r="F12" s="357" t="n">
        <f aca="false">F9/F11</f>
        <v>0.159320100803927</v>
      </c>
      <c r="G12" s="357" t="n">
        <f aca="false">G9/G11</f>
        <v>0.17055736209341</v>
      </c>
      <c r="H12" s="357" t="n">
        <f aca="false">H9/H11</f>
        <v>0.181302366671721</v>
      </c>
      <c r="I12" s="357" t="n">
        <f aca="false">I9/I11</f>
        <v>0.182933452925992</v>
      </c>
      <c r="J12" s="357" t="n">
        <f aca="false">J9/J11</f>
        <v>0.182982013133086</v>
      </c>
      <c r="K12" s="357" t="n">
        <f aca="false">K9/K11</f>
        <v>0.198989446096654</v>
      </c>
      <c r="L12" s="357" t="n">
        <f aca="false">L9/L11</f>
        <v>0.205067163286957</v>
      </c>
    </row>
    <row r="14" customFormat="false" ht="15.75" hidden="false" customHeight="false" outlineLevel="0" collapsed="false">
      <c r="B14" s="349" t="s">
        <v>1400</v>
      </c>
      <c r="C14" s="358" t="n">
        <f aca="false">C3</f>
        <v>2011</v>
      </c>
      <c r="D14" s="358" t="n">
        <f aca="false">D3</f>
        <v>2012</v>
      </c>
      <c r="E14" s="358" t="n">
        <f aca="false">E3</f>
        <v>2013</v>
      </c>
      <c r="F14" s="358" t="n">
        <f aca="false">F3</f>
        <v>2014</v>
      </c>
      <c r="G14" s="358" t="n">
        <f aca="false">G3</f>
        <v>2015</v>
      </c>
      <c r="H14" s="358" t="n">
        <f aca="false">H3</f>
        <v>2016</v>
      </c>
      <c r="I14" s="358" t="n">
        <f aca="false">I3</f>
        <v>2017</v>
      </c>
      <c r="J14" s="358" t="n">
        <f aca="false">J3</f>
        <v>2018</v>
      </c>
      <c r="K14" s="358" t="n">
        <f aca="false">K3</f>
        <v>2019</v>
      </c>
      <c r="L14" s="358" t="n">
        <f aca="false">L3</f>
        <v>2020</v>
      </c>
      <c r="M14" s="108" t="s">
        <v>1401</v>
      </c>
    </row>
    <row r="15" customFormat="false" ht="15.75" hidden="false" customHeight="false" outlineLevel="0" collapsed="false">
      <c r="B15" s="359" t="str">
        <f aca="false">B4</f>
        <v>UMC</v>
      </c>
      <c r="C15" s="91" t="n">
        <f aca="false">C4/C$9*100</f>
        <v>16.7789773289321</v>
      </c>
      <c r="D15" s="91" t="n">
        <f aca="false">D4/D$9*100</f>
        <v>15.9100764073799</v>
      </c>
      <c r="E15" s="91" t="n">
        <f aca="false">E4/E$9*100</f>
        <v>16.0509688490536</v>
      </c>
      <c r="F15" s="91" t="n">
        <f aca="false">F4/F$9*100</f>
        <v>17.5879253674414</v>
      </c>
      <c r="G15" s="91" t="n">
        <f aca="false">G4/G$9*100</f>
        <v>16.7768892012942</v>
      </c>
      <c r="H15" s="91" t="n">
        <f aca="false">H4/H$9*100</f>
        <v>15.9812251581613</v>
      </c>
      <c r="I15" s="91" t="n">
        <f aca="false">I4/I$9*100</f>
        <v>16.0435516767099</v>
      </c>
      <c r="J15" s="91" t="n">
        <f aca="false">J4/J$9*100</f>
        <v>15.4094736284496</v>
      </c>
      <c r="K15" s="91" t="n">
        <f aca="false">K4/K$9*100</f>
        <v>15.4569715713672</v>
      </c>
      <c r="L15" s="360" t="n">
        <f aca="false">L4/L$9*100</f>
        <v>17.5861582993762</v>
      </c>
      <c r="M15" s="361"/>
    </row>
    <row r="16" customFormat="false" ht="15.75" hidden="false" customHeight="false" outlineLevel="0" collapsed="false">
      <c r="B16" s="359" t="str">
        <f aca="false">B5</f>
        <v>TSMC</v>
      </c>
      <c r="C16" s="362" t="n">
        <f aca="false">C5/C$9*100</f>
        <v>48.2543422148941</v>
      </c>
      <c r="D16" s="362" t="n">
        <f aca="false">D5/D$9*100</f>
        <v>50.5858299644835</v>
      </c>
      <c r="E16" s="362" t="n">
        <f aca="false">E5/E$9*100</f>
        <v>50.0259453911659</v>
      </c>
      <c r="F16" s="362" t="n">
        <f aca="false">F5/F$9*100</f>
        <v>50.61723058315</v>
      </c>
      <c r="G16" s="362" t="n">
        <f aca="false">G5/G$9*100</f>
        <v>51.4745464130617</v>
      </c>
      <c r="H16" s="362" t="n">
        <f aca="false">H5/H$9*100</f>
        <v>52.2810677629672</v>
      </c>
      <c r="I16" s="362" t="n">
        <f aca="false">I5/I$9*100</f>
        <v>51.822812296797</v>
      </c>
      <c r="J16" s="362" t="n">
        <f aca="false">J5/J$9*100</f>
        <v>52.4219808443686</v>
      </c>
      <c r="K16" s="362" t="n">
        <f aca="false">K5/K$9*100</f>
        <v>53.2716921840084</v>
      </c>
      <c r="L16" s="363" t="n">
        <f aca="false">L5/L$9*100</f>
        <v>52.0057983858773</v>
      </c>
      <c r="M16" s="361"/>
    </row>
    <row r="17" customFormat="false" ht="15.75" hidden="false" customHeight="false" outlineLevel="0" collapsed="false">
      <c r="B17" s="359" t="str">
        <f aca="false">B6</f>
        <v>STmicro</v>
      </c>
      <c r="C17" s="91" t="n">
        <f aca="false">C6/C$9*100</f>
        <v>18.2240978133687</v>
      </c>
      <c r="D17" s="91" t="n">
        <f aca="false">D6/D$9*100</f>
        <v>15.8937385599983</v>
      </c>
      <c r="E17" s="91" t="n">
        <f aca="false">E6/E$9*100</f>
        <v>16.2813338539211</v>
      </c>
      <c r="F17" s="91" t="n">
        <f aca="false">F6/F$9*100</f>
        <v>15.8032979956484</v>
      </c>
      <c r="G17" s="91" t="n">
        <f aca="false">G6/G$9*100</f>
        <v>14.3381575397127</v>
      </c>
      <c r="H17" s="91" t="n">
        <f aca="false">H6/H$9*100</f>
        <v>12.7956345188122</v>
      </c>
      <c r="I17" s="91" t="n">
        <f aca="false">I6/I$9*100</f>
        <v>13.2833907559952</v>
      </c>
      <c r="J17" s="91" t="n">
        <f aca="false">J6/J$9*100</f>
        <v>13.2198726819727</v>
      </c>
      <c r="K17" s="91" t="n">
        <f aca="false">K6/K$9*100</f>
        <v>12.6553285145553</v>
      </c>
      <c r="L17" s="360" t="n">
        <f aca="false">L6/L$9*100</f>
        <v>10.7596954268611</v>
      </c>
      <c r="M17" s="361"/>
    </row>
    <row r="18" customFormat="false" ht="15.75" hidden="false" customHeight="false" outlineLevel="0" collapsed="false">
      <c r="B18" s="359" t="str">
        <f aca="false">B7</f>
        <v>SMIC</v>
      </c>
      <c r="C18" s="91" t="n">
        <f aca="false">C7/C$9*100</f>
        <v>6.33711219188445</v>
      </c>
      <c r="D18" s="91" t="n">
        <f aca="false">D7/D$9*100</f>
        <v>7.53953570532558</v>
      </c>
      <c r="E18" s="91" t="n">
        <f aca="false">E7/E$9*100</f>
        <v>7.9642252234596</v>
      </c>
      <c r="F18" s="91" t="n">
        <f aca="false">F7/F$9*100</f>
        <v>7.74696108085216</v>
      </c>
      <c r="G18" s="91" t="n">
        <f aca="false">G7/G$9*100</f>
        <v>8.25253885761663</v>
      </c>
      <c r="H18" s="91" t="n">
        <f aca="false">H7/H$9*100</f>
        <v>9.89912461452988</v>
      </c>
      <c r="I18" s="91" t="n">
        <f aca="false">I7/I$9*100</f>
        <v>9.71617142419277</v>
      </c>
      <c r="J18" s="91" t="n">
        <f aca="false">J7/J$9*100</f>
        <v>10.1879755979542</v>
      </c>
      <c r="K18" s="91" t="n">
        <f aca="false">K7/K$9*100</f>
        <v>10.4199711600289</v>
      </c>
      <c r="L18" s="360" t="n">
        <f aca="false">L7/L$9*100</f>
        <v>10.9066037782895</v>
      </c>
      <c r="M18" s="361"/>
    </row>
    <row r="19" customFormat="false" ht="15.75" hidden="false" customHeight="false" outlineLevel="0" collapsed="false">
      <c r="B19" s="359" t="str">
        <f aca="false">B8</f>
        <v>GF</v>
      </c>
      <c r="C19" s="91" t="n">
        <f aca="false">C8/C$9*100</f>
        <v>10.4054704509206</v>
      </c>
      <c r="D19" s="91" t="n">
        <f aca="false">D8/D$9*100</f>
        <v>10.0708193628127</v>
      </c>
      <c r="E19" s="91" t="n">
        <f aca="false">E8/E$9*100</f>
        <v>9.67752668239988</v>
      </c>
      <c r="F19" s="91" t="n">
        <f aca="false">F8/F$9*100</f>
        <v>8.24458497290808</v>
      </c>
      <c r="G19" s="91" t="n">
        <f aca="false">G8/G$9*100</f>
        <v>9.15786798831477</v>
      </c>
      <c r="H19" s="91" t="n">
        <f aca="false">H8/H$9*100</f>
        <v>9.04294794552935</v>
      </c>
      <c r="I19" s="91" t="n">
        <f aca="false">I8/I$9*100</f>
        <v>9.13407384630513</v>
      </c>
      <c r="J19" s="91" t="n">
        <f aca="false">J8/J$9*100</f>
        <v>8.760697247255</v>
      </c>
      <c r="K19" s="91" t="n">
        <f aca="false">K8/K$9*100</f>
        <v>8.1960365700402</v>
      </c>
      <c r="L19" s="360" t="n">
        <f aca="false">L8/L$9*100</f>
        <v>8.74174410959587</v>
      </c>
      <c r="M19" s="361"/>
    </row>
    <row r="20" customFormat="false" ht="15.75" hidden="false" customHeight="false" outlineLevel="0" collapsed="false">
      <c r="B20" s="356" t="str">
        <f aca="false">B9</f>
        <v>TOT</v>
      </c>
      <c r="C20" s="364" t="n">
        <f aca="false">C9/C$9*100</f>
        <v>100</v>
      </c>
      <c r="D20" s="364" t="n">
        <f aca="false">D9/D$9*100</f>
        <v>100</v>
      </c>
      <c r="E20" s="364" t="n">
        <f aca="false">E9/E$9*100</f>
        <v>100</v>
      </c>
      <c r="F20" s="364" t="n">
        <f aca="false">F9/F$9*100</f>
        <v>100</v>
      </c>
      <c r="G20" s="364" t="n">
        <f aca="false">G9/G$9*100</f>
        <v>100</v>
      </c>
      <c r="H20" s="364" t="n">
        <f aca="false">H9/H$9*100</f>
        <v>100</v>
      </c>
      <c r="I20" s="364" t="n">
        <f aca="false">I9/I$9*100</f>
        <v>100</v>
      </c>
      <c r="J20" s="364" t="n">
        <f aca="false">J9/J$9*100</f>
        <v>100</v>
      </c>
      <c r="K20" s="364" t="n">
        <f aca="false">K9/K$9*100</f>
        <v>100</v>
      </c>
      <c r="L20" s="365" t="n">
        <f aca="false">L9/L$9*100</f>
        <v>100</v>
      </c>
      <c r="M20" s="115"/>
    </row>
    <row r="22" customFormat="false" ht="15.75" hidden="false" customHeight="false" outlineLevel="0" collapsed="false">
      <c r="B22" s="366" t="s">
        <v>1402</v>
      </c>
      <c r="C22" s="350"/>
      <c r="D22" s="350" t="n">
        <f aca="false">D14</f>
        <v>2012</v>
      </c>
      <c r="E22" s="350" t="n">
        <f aca="false">E14</f>
        <v>2013</v>
      </c>
      <c r="F22" s="350" t="n">
        <f aca="false">F14</f>
        <v>2014</v>
      </c>
      <c r="G22" s="350" t="n">
        <f aca="false">G14</f>
        <v>2015</v>
      </c>
      <c r="H22" s="350" t="n">
        <f aca="false">H14</f>
        <v>2016</v>
      </c>
      <c r="I22" s="350" t="n">
        <f aca="false">I14</f>
        <v>2017</v>
      </c>
      <c r="J22" s="350" t="n">
        <f aca="false">J14</f>
        <v>2018</v>
      </c>
      <c r="K22" s="350" t="n">
        <f aca="false">K14</f>
        <v>2019</v>
      </c>
      <c r="L22" s="232" t="n">
        <f aca="false">L14</f>
        <v>2020</v>
      </c>
      <c r="M22" s="108" t="s">
        <v>1401</v>
      </c>
    </row>
    <row r="23" customFormat="false" ht="15.75" hidden="false" customHeight="false" outlineLevel="0" collapsed="false">
      <c r="B23" s="367" t="str">
        <f aca="false">B4</f>
        <v>UMC</v>
      </c>
      <c r="C23" s="368"/>
      <c r="D23" s="369" t="n">
        <f aca="false">(D4-C4)/C4*100</f>
        <v>3.72997711670481</v>
      </c>
      <c r="E23" s="369" t="n">
        <f aca="false">(E4-D4)/D4*100</f>
        <v>10.8757996911538</v>
      </c>
      <c r="F23" s="369" t="n">
        <f aca="false">(F4-E4)/E4*100</f>
        <v>11.9976124154397</v>
      </c>
      <c r="G23" s="369" t="n">
        <f aca="false">(G4-F4)/F4*100</f>
        <v>5.52496002842424</v>
      </c>
      <c r="H23" s="369" t="n">
        <f aca="false">(H4-G4)/G4*100</f>
        <v>4.20875420875422</v>
      </c>
      <c r="I23" s="369" t="n">
        <f aca="false">(I4-H4)/H4*100</f>
        <v>11.40549273021</v>
      </c>
      <c r="J23" s="369" t="n">
        <f aca="false">(J4-I4)/I4*100</f>
        <v>3.58178654292342</v>
      </c>
      <c r="K23" s="369" t="n">
        <f aca="false">(K4-J4)/J4*100</f>
        <v>1.17597648047039</v>
      </c>
      <c r="L23" s="370" t="n">
        <f aca="false">(L4-K4)/K4*100</f>
        <v>23.1769752317698</v>
      </c>
    </row>
    <row r="24" customFormat="false" ht="15.75" hidden="false" customHeight="false" outlineLevel="0" collapsed="false">
      <c r="B24" s="359" t="str">
        <f aca="false">B5</f>
        <v>TSMC</v>
      </c>
      <c r="D24" s="115" t="n">
        <f aca="false">(D5-C5)/C5*100</f>
        <v>14.6806072758522</v>
      </c>
      <c r="E24" s="115" t="n">
        <f aca="false">(E5-D5)/D5*100</f>
        <v>8.68614961908327</v>
      </c>
      <c r="F24" s="115" t="n">
        <f aca="false">(F5-E5)/E5*100</f>
        <v>3.41855788566506</v>
      </c>
      <c r="G24" s="115" t="n">
        <f aca="false">(G5-F5)/F5*100</f>
        <v>12.5</v>
      </c>
      <c r="H24" s="115" t="n">
        <f aca="false">(H5-G5)/G5*100</f>
        <v>11.1111111111111</v>
      </c>
      <c r="I24" s="115" t="n">
        <f aca="false">(I5-H5)/H5*100</f>
        <v>10</v>
      </c>
      <c r="J24" s="115" t="n">
        <f aca="false">(J5-I5)/I5*100</f>
        <v>9.09090909090909</v>
      </c>
      <c r="K24" s="115" t="n">
        <f aca="false">(K5-J5)/J5*100</f>
        <v>2.50000000000001</v>
      </c>
      <c r="L24" s="371" t="n">
        <f aca="false">(L5-K5)/K5*100</f>
        <v>5.69105691056909</v>
      </c>
    </row>
    <row r="25" customFormat="false" ht="15.75" hidden="false" customHeight="false" outlineLevel="0" collapsed="false">
      <c r="B25" s="359" t="str">
        <f aca="false">B6</f>
        <v>STmicro</v>
      </c>
      <c r="D25" s="115" t="n">
        <f aca="false">(D6-C6)/C6*100</f>
        <v>-4.59359507207546</v>
      </c>
      <c r="E25" s="115" t="n">
        <f aca="false">(E6-D6)/D6*100</f>
        <v>12.5827092270777</v>
      </c>
      <c r="F25" s="115" t="n">
        <f aca="false">(F6-E6)/E6*100</f>
        <v>-0.790525334058892</v>
      </c>
      <c r="G25" s="115" t="n">
        <f aca="false">(G6-F6)/F6*100</f>
        <v>0.370015778574005</v>
      </c>
      <c r="H25" s="115" t="n">
        <f aca="false">(H6-G6)/G6*100</f>
        <v>-2.37207719117995</v>
      </c>
      <c r="I25" s="115" t="n">
        <f aca="false">(I6-H6)/H6*100</f>
        <v>15.2028645744208</v>
      </c>
      <c r="J25" s="115" t="n">
        <f aca="false">(J6-I6)/I6*100</f>
        <v>7.32834559578318</v>
      </c>
      <c r="K25" s="115" t="n">
        <f aca="false">(K6-J6)/J6*100</f>
        <v>-3.44229138122268</v>
      </c>
      <c r="L25" s="371" t="n">
        <f aca="false">(L6-K6)/K6*100</f>
        <v>-7.95302512264011</v>
      </c>
    </row>
    <row r="26" customFormat="false" ht="15.75" hidden="false" customHeight="false" outlineLevel="0" collapsed="false">
      <c r="B26" s="359" t="str">
        <f aca="false">B7</f>
        <v>SMIC</v>
      </c>
      <c r="D26" s="115" t="n">
        <f aca="false">(D7-C7)/C7*100</f>
        <v>30.1519593023146</v>
      </c>
      <c r="E26" s="115" t="n">
        <f aca="false">(E7-D7)/D7*100</f>
        <v>16.0931805435965</v>
      </c>
      <c r="F26" s="115" t="n">
        <f aca="false">(F7-E7)/E7*100</f>
        <v>-0.577828762327378</v>
      </c>
      <c r="G26" s="115" t="n">
        <f aca="false">(G7-F7)/F7*100</f>
        <v>17.8459272119997</v>
      </c>
      <c r="H26" s="115" t="n">
        <f aca="false">(H7-G7)/G7*100</f>
        <v>31.2244567625382</v>
      </c>
      <c r="I26" s="115" t="n">
        <f aca="false">(I7-H7)/H7*100</f>
        <v>8.92173078888683</v>
      </c>
      <c r="J26" s="115" t="n">
        <f aca="false">(J7-I7)/I7*100</f>
        <v>13.080791181935</v>
      </c>
      <c r="K26" s="115" t="n">
        <f aca="false">(K7-J7)/J7*100</f>
        <v>3.16192113883137</v>
      </c>
      <c r="L26" s="371" t="n">
        <f aca="false">(L7-K7)/K7*100</f>
        <v>13.3198483043811</v>
      </c>
    </row>
    <row r="27" customFormat="false" ht="15.75" hidden="false" customHeight="false" outlineLevel="0" collapsed="false">
      <c r="B27" s="372" t="str">
        <f aca="false">B8</f>
        <v>GF</v>
      </c>
      <c r="C27" s="247"/>
      <c r="D27" s="373" t="n">
        <f aca="false">(D8-C8)/C8*100</f>
        <v>5.87674714104193</v>
      </c>
      <c r="E27" s="373" t="n">
        <f aca="false">(E8-D8)/D8*100</f>
        <v>5.61056105610562</v>
      </c>
      <c r="F27" s="373" t="n">
        <f aca="false">(F8-E8)/E8*100</f>
        <v>-12.9237288135593</v>
      </c>
      <c r="G27" s="373" t="n">
        <f aca="false">(G8-F8)/F8*100</f>
        <v>22.8807785888078</v>
      </c>
      <c r="H27" s="373" t="n">
        <f aca="false">(H8-G8)/G8*100</f>
        <v>8.02424065420562</v>
      </c>
      <c r="I27" s="373" t="n">
        <f aca="false">(I8-H8)/H8*100</f>
        <v>12.0909743097182</v>
      </c>
      <c r="J27" s="373" t="n">
        <f aca="false">(J8-I8)/I8*100</f>
        <v>3.43565398193283</v>
      </c>
      <c r="K27" s="373" t="n">
        <f aca="false">(K8-J8)/J8*100</f>
        <v>-5.63607089405984</v>
      </c>
      <c r="L27" s="374" t="n">
        <f aca="false">(L8-K8)/K8*100</f>
        <v>15.4721274674148</v>
      </c>
    </row>
    <row r="28" customFormat="false" ht="15.75" hidden="false" customHeight="false" outlineLevel="0" collapsed="false">
      <c r="B28" s="372" t="str">
        <f aca="false">B9</f>
        <v>TOT</v>
      </c>
      <c r="C28" s="247"/>
      <c r="D28" s="373" t="n">
        <f aca="false">(D9-C9)/C9*100</f>
        <v>9.39500790609096</v>
      </c>
      <c r="E28" s="373" t="n">
        <f aca="false">(E9-D9)/D9*100</f>
        <v>9.90255238827044</v>
      </c>
      <c r="F28" s="373" t="n">
        <f aca="false">(F9-E9)/E9*100</f>
        <v>2.21047397531176</v>
      </c>
      <c r="G28" s="373" t="n">
        <f aca="false">(G9-F9)/F9*100</f>
        <v>10.626296634241</v>
      </c>
      <c r="H28" s="373" t="n">
        <f aca="false">(H9-G9)/G9*100</f>
        <v>9.39703970520329</v>
      </c>
      <c r="I28" s="373" t="n">
        <f aca="false">(I9-H9)/H9*100</f>
        <v>10.9727009987421</v>
      </c>
      <c r="J28" s="373" t="n">
        <f aca="false">(J9-I9)/I9*100</f>
        <v>7.84403057734604</v>
      </c>
      <c r="K28" s="373" t="n">
        <f aca="false">(K9-J9)/J9*100</f>
        <v>0.865071415185366</v>
      </c>
      <c r="L28" s="374" t="n">
        <f aca="false">(L9-K9)/K9*100</f>
        <v>8.26372491324601</v>
      </c>
    </row>
  </sheetData>
  <conditionalFormatting sqref="D23:D27">
    <cfRule type="colorScale" priority="2">
      <colorScale>
        <cfvo type="min" val="0"/>
        <cfvo type="percentile" val="50"/>
        <cfvo type="max" val="0"/>
        <color rgb="FFF8696B"/>
        <color rgb="FFFFEB84"/>
        <color rgb="FF63BE7B"/>
      </colorScale>
    </cfRule>
  </conditionalFormatting>
  <conditionalFormatting sqref="E23:E27">
    <cfRule type="colorScale" priority="3">
      <colorScale>
        <cfvo type="min" val="0"/>
        <cfvo type="percentile" val="50"/>
        <cfvo type="max" val="0"/>
        <color rgb="FFF8696B"/>
        <color rgb="FFFFEB84"/>
        <color rgb="FF63BE7B"/>
      </colorScale>
    </cfRule>
  </conditionalFormatting>
  <conditionalFormatting sqref="F23:F27">
    <cfRule type="colorScale" priority="4">
      <colorScale>
        <cfvo type="min" val="0"/>
        <cfvo type="percentile" val="50"/>
        <cfvo type="max" val="0"/>
        <color rgb="FFF8696B"/>
        <color rgb="FFFFEB84"/>
        <color rgb="FF63BE7B"/>
      </colorScale>
    </cfRule>
  </conditionalFormatting>
  <conditionalFormatting sqref="G23:G27">
    <cfRule type="colorScale" priority="5">
      <colorScale>
        <cfvo type="min" val="0"/>
        <cfvo type="percentile" val="50"/>
        <cfvo type="max" val="0"/>
        <color rgb="FFF8696B"/>
        <color rgb="FFFFEB84"/>
        <color rgb="FF63BE7B"/>
      </colorScale>
    </cfRule>
  </conditionalFormatting>
  <conditionalFormatting sqref="H23:H27">
    <cfRule type="colorScale" priority="6">
      <colorScale>
        <cfvo type="min" val="0"/>
        <cfvo type="percentile" val="50"/>
        <cfvo type="max" val="0"/>
        <color rgb="FFF8696B"/>
        <color rgb="FFFFEB84"/>
        <color rgb="FF63BE7B"/>
      </colorScale>
    </cfRule>
  </conditionalFormatting>
  <conditionalFormatting sqref="I23:I27">
    <cfRule type="colorScale" priority="7">
      <colorScale>
        <cfvo type="min" val="0"/>
        <cfvo type="percentile" val="50"/>
        <cfvo type="max" val="0"/>
        <color rgb="FFF8696B"/>
        <color rgb="FFFFEB84"/>
        <color rgb="FF63BE7B"/>
      </colorScale>
    </cfRule>
  </conditionalFormatting>
  <conditionalFormatting sqref="J23:J27">
    <cfRule type="colorScale" priority="8">
      <colorScale>
        <cfvo type="min" val="0"/>
        <cfvo type="percentile" val="50"/>
        <cfvo type="max" val="0"/>
        <color rgb="FFF8696B"/>
        <color rgb="FFFFEB84"/>
        <color rgb="FF63BE7B"/>
      </colorScale>
    </cfRule>
  </conditionalFormatting>
  <conditionalFormatting sqref="K23:K27">
    <cfRule type="colorScale" priority="9">
      <colorScale>
        <cfvo type="min" val="0"/>
        <cfvo type="percentile" val="50"/>
        <cfvo type="max" val="0"/>
        <color rgb="FFF8696B"/>
        <color rgb="FFFFEB84"/>
        <color rgb="FF63BE7B"/>
      </colorScale>
    </cfRule>
  </conditionalFormatting>
  <conditionalFormatting sqref="L23:L27">
    <cfRule type="colorScale" priority="10">
      <colorScale>
        <cfvo type="min" val="0"/>
        <cfvo type="percentile" val="50"/>
        <cfvo type="max" val="0"/>
        <color rgb="FFF8696B"/>
        <color rgb="FFFFEB84"/>
        <color rgb="FF63BE7B"/>
      </colorScale>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DBDBDB"/>
    <pageSetUpPr fitToPage="false"/>
  </sheetPr>
  <dimension ref="B2:H63"/>
  <sheetViews>
    <sheetView showFormulas="false" showGridLines="true" showRowColHeaders="true" showZeros="true" rightToLeft="false" tabSelected="false" showOutlineSymbols="true" defaultGridColor="true" view="normal" topLeftCell="A43" colorId="64" zoomScale="100" zoomScaleNormal="100" zoomScalePageLayoutView="100" workbookViewId="0">
      <selection pane="topLeft" activeCell="D61" activeCellId="0" sqref="D61"/>
    </sheetView>
  </sheetViews>
  <sheetFormatPr defaultColWidth="8.5" defaultRowHeight="15.75" zeroHeight="false" outlineLevelRow="0" outlineLevelCol="0"/>
  <cols>
    <col collapsed="false" customWidth="true" hidden="false" outlineLevel="0" max="4" min="4" style="0" width="34.5"/>
  </cols>
  <sheetData>
    <row r="2" customFormat="false" ht="15.75" hidden="false" customHeight="false" outlineLevel="0" collapsed="false">
      <c r="B2" s="92" t="s">
        <v>508</v>
      </c>
      <c r="C2" s="0" t="s">
        <v>1394</v>
      </c>
    </row>
    <row r="4" customFormat="false" ht="15.75" hidden="false" customHeight="false" outlineLevel="0" collapsed="false">
      <c r="B4" s="111" t="s">
        <v>1403</v>
      </c>
      <c r="C4" s="111" t="s">
        <v>3</v>
      </c>
      <c r="D4" s="111" t="s">
        <v>1404</v>
      </c>
    </row>
    <row r="5" customFormat="false" ht="15.75" hidden="false" customHeight="false" outlineLevel="0" collapsed="false">
      <c r="B5" s="124" t="s">
        <v>256</v>
      </c>
      <c r="C5" s="77" t="n">
        <v>2020</v>
      </c>
      <c r="D5" s="375" t="n">
        <f aca="false">'Industries data'!H4/'Industries data'!F4</f>
        <v>0.704735490419469</v>
      </c>
    </row>
    <row r="6" customFormat="false" ht="15.75" hidden="false" customHeight="false" outlineLevel="0" collapsed="false">
      <c r="B6" s="124" t="s">
        <v>256</v>
      </c>
      <c r="C6" s="77" t="n">
        <v>2019</v>
      </c>
      <c r="D6" s="375" t="n">
        <f aca="false">'Industries data'!H5/'Industries data'!F5</f>
        <v>0.719861575588438</v>
      </c>
    </row>
    <row r="7" customFormat="false" ht="15.75" hidden="false" customHeight="false" outlineLevel="0" collapsed="false">
      <c r="B7" s="124" t="s">
        <v>256</v>
      </c>
      <c r="C7" s="77" t="n">
        <v>2018</v>
      </c>
      <c r="D7" s="375" t="n">
        <f aca="false">'Industries data'!H6/'Industries data'!F6</f>
        <v>0.696215754673625</v>
      </c>
    </row>
    <row r="8" customFormat="false" ht="15.75" hidden="false" customHeight="false" outlineLevel="0" collapsed="false">
      <c r="B8" s="124" t="s">
        <v>256</v>
      </c>
      <c r="C8" s="77" t="n">
        <v>2017</v>
      </c>
      <c r="D8" s="375" t="n">
        <f aca="false">'Industries data'!H7/'Industries data'!F7</f>
        <v>0.691926851003118</v>
      </c>
    </row>
    <row r="9" customFormat="false" ht="15.75" hidden="false" customHeight="false" outlineLevel="0" collapsed="false">
      <c r="B9" s="124" t="s">
        <v>256</v>
      </c>
      <c r="C9" s="77" t="n">
        <v>2016</v>
      </c>
      <c r="D9" s="375" t="n">
        <f aca="false">'Industries data'!H8/'Industries data'!F8</f>
        <v>0.658270415545909</v>
      </c>
    </row>
    <row r="10" customFormat="false" ht="15.75" hidden="false" customHeight="false" outlineLevel="0" collapsed="false">
      <c r="B10" s="124" t="s">
        <v>256</v>
      </c>
      <c r="C10" s="77" t="n">
        <v>2015</v>
      </c>
      <c r="D10" s="375" t="n">
        <f aca="false">'Industries data'!H9/'Industries data'!F9</f>
        <v>0.652576959933089</v>
      </c>
    </row>
    <row r="11" customFormat="false" ht="15.75" hidden="false" customHeight="false" outlineLevel="0" collapsed="false">
      <c r="B11" s="124" t="s">
        <v>256</v>
      </c>
      <c r="C11" s="77" t="n">
        <v>2014</v>
      </c>
      <c r="D11" s="375" t="n">
        <f aca="false">'Industries data'!H10/'Industries data'!F10</f>
        <v>0.660472151693588</v>
      </c>
    </row>
    <row r="12" customFormat="false" ht="15.75" hidden="false" customHeight="false" outlineLevel="0" collapsed="false">
      <c r="B12" s="124" t="s">
        <v>256</v>
      </c>
      <c r="C12" s="77" t="n">
        <v>2013</v>
      </c>
      <c r="D12" s="375" t="n">
        <f aca="false">'Industries data'!H11/'Industries data'!F11</f>
        <v>0.734255858648313</v>
      </c>
    </row>
    <row r="13" customFormat="false" ht="15.75" hidden="false" customHeight="false" outlineLevel="0" collapsed="false">
      <c r="B13" s="124" t="s">
        <v>256</v>
      </c>
      <c r="C13" s="77" t="n">
        <v>2012</v>
      </c>
      <c r="D13" s="375" t="n">
        <f aca="false">'Industries data'!H12/'Industries data'!F12</f>
        <v>0.668480140568862</v>
      </c>
    </row>
    <row r="14" customFormat="false" ht="15.75" hidden="false" customHeight="false" outlineLevel="0" collapsed="false">
      <c r="B14" s="124" t="s">
        <v>256</v>
      </c>
      <c r="C14" s="77" t="n">
        <v>2011</v>
      </c>
      <c r="D14" s="375" t="n">
        <f aca="false">'Industries data'!H13/'Industries data'!F13</f>
        <v>0.669875870958152</v>
      </c>
    </row>
    <row r="15" customFormat="false" ht="15.75" hidden="false" customHeight="false" outlineLevel="0" collapsed="false">
      <c r="B15" s="124"/>
      <c r="C15" s="77"/>
      <c r="D15" s="375"/>
    </row>
    <row r="16" customFormat="false" ht="15.75" hidden="false" customHeight="false" outlineLevel="0" collapsed="false">
      <c r="B16" s="124" t="s">
        <v>272</v>
      </c>
      <c r="C16" s="77" t="n">
        <v>2020</v>
      </c>
      <c r="D16" s="375" t="n">
        <f aca="false">'Industries data'!H15/'Industries data'!F15</f>
        <v>0.775545521064602</v>
      </c>
    </row>
    <row r="17" customFormat="false" ht="15.75" hidden="false" customHeight="false" outlineLevel="0" collapsed="false">
      <c r="B17" s="124" t="s">
        <v>272</v>
      </c>
      <c r="C17" s="77" t="n">
        <v>2019</v>
      </c>
      <c r="D17" s="375" t="n">
        <f aca="false">'Industries data'!H16/'Industries data'!F16</f>
        <v>0.798999591474509</v>
      </c>
    </row>
    <row r="18" customFormat="false" ht="15.75" hidden="false" customHeight="false" outlineLevel="0" collapsed="false">
      <c r="B18" s="124" t="s">
        <v>272</v>
      </c>
      <c r="C18" s="77" t="n">
        <v>2018</v>
      </c>
      <c r="D18" s="375" t="n">
        <f aca="false">'Industries data'!H17/'Industries data'!F17</f>
        <v>0.787622684527777</v>
      </c>
    </row>
    <row r="19" customFormat="false" ht="15.75" hidden="false" customHeight="false" outlineLevel="0" collapsed="false">
      <c r="B19" s="124" t="s">
        <v>272</v>
      </c>
      <c r="C19" s="77" t="n">
        <v>2017</v>
      </c>
      <c r="D19" s="375" t="n">
        <f aca="false">'Industries data'!H18/'Industries data'!F18</f>
        <v>0.776849374748146</v>
      </c>
    </row>
    <row r="20" customFormat="false" ht="15.75" hidden="false" customHeight="false" outlineLevel="0" collapsed="false">
      <c r="B20" s="124" t="s">
        <v>272</v>
      </c>
      <c r="C20" s="77" t="n">
        <v>2016</v>
      </c>
      <c r="D20" s="375" t="n">
        <f aca="false">'Industries data'!H19/'Industries data'!F19</f>
        <v>0.753213209031707</v>
      </c>
    </row>
    <row r="21" customFormat="false" ht="15.75" hidden="false" customHeight="false" outlineLevel="0" collapsed="false">
      <c r="B21" s="124" t="s">
        <v>272</v>
      </c>
      <c r="C21" s="77" t="n">
        <v>2015</v>
      </c>
      <c r="D21" s="375" t="n">
        <f aca="false">'Industries data'!H20/'Industries data'!F20</f>
        <v>0.733670858359847</v>
      </c>
    </row>
    <row r="22" customFormat="false" ht="15.75" hidden="false" customHeight="false" outlineLevel="0" collapsed="false">
      <c r="B22" s="124" t="s">
        <v>272</v>
      </c>
      <c r="C22" s="77" t="n">
        <v>2014</v>
      </c>
      <c r="D22" s="375" t="n">
        <f aca="false">'Industries data'!H21/'Industries data'!F21</f>
        <v>0.704093717770664</v>
      </c>
    </row>
    <row r="23" customFormat="false" ht="15.75" hidden="false" customHeight="false" outlineLevel="0" collapsed="false">
      <c r="B23" s="124" t="s">
        <v>272</v>
      </c>
      <c r="C23" s="77" t="n">
        <v>2013</v>
      </c>
      <c r="D23" s="375" t="n">
        <f aca="false">'Industries data'!H22/'Industries data'!F22</f>
        <v>0.689913283371721</v>
      </c>
    </row>
    <row r="24" customFormat="false" ht="15.75" hidden="false" customHeight="false" outlineLevel="0" collapsed="false">
      <c r="B24" s="124" t="s">
        <v>272</v>
      </c>
      <c r="C24" s="77" t="n">
        <v>2012</v>
      </c>
      <c r="D24" s="375" t="n">
        <f aca="false">'Industries data'!H23/'Industries data'!F23</f>
        <v>0.679509014306769</v>
      </c>
    </row>
    <row r="25" customFormat="false" ht="15.75" hidden="false" customHeight="false" outlineLevel="0" collapsed="false">
      <c r="B25" s="124" t="s">
        <v>272</v>
      </c>
      <c r="C25" s="77" t="n">
        <v>2011</v>
      </c>
      <c r="D25" s="375" t="n">
        <f aca="false">'Industries data'!H24/'Industries data'!F24</f>
        <v>0.690523565896813</v>
      </c>
    </row>
    <row r="26" customFormat="false" ht="15.75" hidden="false" customHeight="false" outlineLevel="0" collapsed="false">
      <c r="B26" s="124" t="s">
        <v>272</v>
      </c>
      <c r="C26" s="77" t="n">
        <v>2010</v>
      </c>
      <c r="D26" s="375" t="n">
        <f aca="false">'Industries data'!H25/'Industries data'!F25</f>
        <v>0.635390837761367</v>
      </c>
    </row>
    <row r="27" customFormat="false" ht="15.75" hidden="false" customHeight="false" outlineLevel="0" collapsed="false">
      <c r="B27" s="124"/>
      <c r="C27" s="77"/>
      <c r="D27" s="375"/>
    </row>
    <row r="28" customFormat="false" ht="15.75" hidden="false" customHeight="false" outlineLevel="0" collapsed="false">
      <c r="B28" s="124" t="s">
        <v>291</v>
      </c>
      <c r="C28" s="77" t="n">
        <v>2020</v>
      </c>
      <c r="D28" s="375" t="n">
        <f aca="false">'Industries data'!H27/'Industries data'!F27</f>
        <v>0.537142857142857</v>
      </c>
    </row>
    <row r="29" customFormat="false" ht="15.75" hidden="false" customHeight="false" outlineLevel="0" collapsed="false">
      <c r="B29" s="124" t="s">
        <v>291</v>
      </c>
      <c r="C29" s="77" t="n">
        <v>2019</v>
      </c>
      <c r="D29" s="375" t="n">
        <f aca="false">'Industries data'!H28/'Industries data'!F28</f>
        <v>0.55758538522637</v>
      </c>
    </row>
    <row r="30" customFormat="false" ht="15.75" hidden="false" customHeight="false" outlineLevel="0" collapsed="false">
      <c r="B30" s="124" t="s">
        <v>291</v>
      </c>
      <c r="C30" s="77" t="n">
        <v>2018</v>
      </c>
      <c r="D30" s="375" t="n">
        <f aca="false">'Industries data'!H29/'Industries data'!F29</f>
        <v>0.551219512195122</v>
      </c>
    </row>
    <row r="31" customFormat="false" ht="15.75" hidden="false" customHeight="false" outlineLevel="0" collapsed="false">
      <c r="B31" s="124" t="s">
        <v>291</v>
      </c>
      <c r="C31" s="77" t="n">
        <v>2017</v>
      </c>
      <c r="D31" s="375" t="n">
        <f aca="false">'Industries data'!H30/'Industries data'!F30</f>
        <v>0.55547391623806</v>
      </c>
    </row>
    <row r="32" customFormat="false" ht="15.75" hidden="false" customHeight="false" outlineLevel="0" collapsed="false">
      <c r="B32" s="124" t="s">
        <v>291</v>
      </c>
      <c r="C32" s="77" t="n">
        <v>2016</v>
      </c>
      <c r="D32" s="375" t="n">
        <f aca="false">'Industries data'!H31/'Industries data'!F31</f>
        <v>0.572424477149496</v>
      </c>
    </row>
    <row r="33" customFormat="false" ht="15.75" hidden="false" customHeight="false" outlineLevel="0" collapsed="false">
      <c r="B33" s="124" t="s">
        <v>291</v>
      </c>
      <c r="C33" s="77" t="n">
        <v>2015</v>
      </c>
      <c r="D33" s="375" t="n">
        <f aca="false">'Industries data'!H32/'Industries data'!F32</f>
        <v>0.565381708238851</v>
      </c>
    </row>
    <row r="34" customFormat="false" ht="15.75" hidden="false" customHeight="false" outlineLevel="0" collapsed="false">
      <c r="B34" s="124" t="s">
        <v>291</v>
      </c>
      <c r="C34" s="77" t="n">
        <v>2014</v>
      </c>
      <c r="D34" s="375" t="n">
        <f aca="false">'Industries data'!H33/'Industries data'!F33</f>
        <v>0.554131054131054</v>
      </c>
    </row>
    <row r="35" customFormat="false" ht="15.75" hidden="false" customHeight="false" outlineLevel="0" collapsed="false">
      <c r="B35" s="124" t="s">
        <v>291</v>
      </c>
      <c r="C35" s="77" t="n">
        <v>2013</v>
      </c>
      <c r="D35" s="375" t="n">
        <f aca="false">'Industries data'!H34/'Industries data'!F34</f>
        <v>0.595325054784514</v>
      </c>
    </row>
    <row r="36" customFormat="false" ht="15.75" hidden="false" customHeight="false" outlineLevel="0" collapsed="false">
      <c r="B36" s="124" t="s">
        <v>291</v>
      </c>
      <c r="C36" s="77" t="n">
        <v>2012</v>
      </c>
      <c r="D36" s="375" t="n">
        <f aca="false">'Industries data'!H35/'Industries data'!F35</f>
        <v>0.596112311015119</v>
      </c>
    </row>
    <row r="37" customFormat="false" ht="15.75" hidden="false" customHeight="false" outlineLevel="0" collapsed="false">
      <c r="B37" s="124" t="s">
        <v>291</v>
      </c>
      <c r="C37" s="77" t="n">
        <v>2011</v>
      </c>
      <c r="D37" s="375" t="n">
        <f aca="false">'Industries data'!H36/'Industries data'!F36</f>
        <v>0.590582079790713</v>
      </c>
    </row>
    <row r="38" customFormat="false" ht="15.75" hidden="false" customHeight="false" outlineLevel="0" collapsed="false">
      <c r="B38" s="124"/>
      <c r="C38" s="77"/>
      <c r="D38" s="375"/>
    </row>
    <row r="39" customFormat="false" ht="15.75" hidden="false" customHeight="false" outlineLevel="0" collapsed="false">
      <c r="B39" s="124" t="s">
        <v>303</v>
      </c>
      <c r="C39" s="77" t="n">
        <v>2020</v>
      </c>
      <c r="D39" s="375" t="n">
        <f aca="false">'Industries data'!H38/'Industries data'!F38</f>
        <v>0.741644620635273</v>
      </c>
    </row>
    <row r="40" customFormat="false" ht="15.75" hidden="false" customHeight="false" outlineLevel="0" collapsed="false">
      <c r="B40" s="124" t="s">
        <v>303</v>
      </c>
      <c r="C40" s="77" t="n">
        <v>2019</v>
      </c>
      <c r="D40" s="375" t="n">
        <f aca="false">'Industries data'!H39/'Industries data'!F39</f>
        <v>0.749700048932511</v>
      </c>
    </row>
    <row r="41" customFormat="false" ht="15.75" hidden="false" customHeight="false" outlineLevel="0" collapsed="false">
      <c r="B41" s="124" t="s">
        <v>303</v>
      </c>
      <c r="C41" s="77" t="n">
        <v>2018</v>
      </c>
      <c r="D41" s="375" t="n">
        <f aca="false">'Industries data'!H40/'Industries data'!F40</f>
        <v>0.763657642072677</v>
      </c>
    </row>
    <row r="42" customFormat="false" ht="15.75" hidden="false" customHeight="false" outlineLevel="0" collapsed="false">
      <c r="B42" s="124" t="s">
        <v>303</v>
      </c>
      <c r="C42" s="77" t="n">
        <v>2017</v>
      </c>
      <c r="D42" s="375" t="n">
        <f aca="false">'Industries data'!H41/'Industries data'!F41</f>
        <v>0.742732044258879</v>
      </c>
    </row>
    <row r="43" customFormat="false" ht="15.75" hidden="false" customHeight="false" outlineLevel="0" collapsed="false">
      <c r="B43" s="124" t="s">
        <v>303</v>
      </c>
      <c r="C43" s="77" t="n">
        <v>2016</v>
      </c>
      <c r="D43" s="375" t="n">
        <f aca="false">'Industries data'!H42/'Industries data'!F42</f>
        <v>0.719565675498819</v>
      </c>
    </row>
    <row r="44" customFormat="false" ht="15.75" hidden="false" customHeight="false" outlineLevel="0" collapsed="false">
      <c r="B44" s="124" t="s">
        <v>303</v>
      </c>
      <c r="C44" s="77" t="n">
        <v>2015</v>
      </c>
      <c r="D44" s="375" t="n">
        <f aca="false">'Industries data'!H43/'Industries data'!F43</f>
        <v>0.713110523599364</v>
      </c>
    </row>
    <row r="45" customFormat="false" ht="15.75" hidden="false" customHeight="false" outlineLevel="0" collapsed="false">
      <c r="B45" s="124" t="s">
        <v>303</v>
      </c>
      <c r="C45" s="77" t="n">
        <v>2014</v>
      </c>
      <c r="D45" s="375" t="n">
        <f aca="false">'Industries data'!H44/'Industries data'!F44</f>
        <v>0.72009071331793</v>
      </c>
    </row>
    <row r="46" customFormat="false" ht="15.75" hidden="false" customHeight="false" outlineLevel="0" collapsed="false">
      <c r="B46" s="124" t="s">
        <v>303</v>
      </c>
      <c r="C46" s="77" t="n">
        <v>2013</v>
      </c>
      <c r="D46" s="375" t="n">
        <f aca="false">'Industries data'!H45/'Industries data'!F45</f>
        <v>0.713906431310058</v>
      </c>
    </row>
    <row r="47" customFormat="false" ht="15.75" hidden="false" customHeight="false" outlineLevel="0" collapsed="false">
      <c r="B47" s="124" t="s">
        <v>303</v>
      </c>
      <c r="C47" s="77" t="n">
        <v>2012</v>
      </c>
      <c r="D47" s="375" t="n">
        <f aca="false">'Industries data'!H46/'Industries data'!F46</f>
        <v>0.740506079096176</v>
      </c>
    </row>
    <row r="48" customFormat="false" ht="15.75" hidden="false" customHeight="false" outlineLevel="0" collapsed="false">
      <c r="B48" s="124" t="s">
        <v>303</v>
      </c>
      <c r="C48" s="77" t="n">
        <v>2011</v>
      </c>
      <c r="D48" s="375" t="n">
        <f aca="false">'Industries data'!H47/'Industries data'!F47</f>
        <v>0.791549915939476</v>
      </c>
    </row>
    <row r="49" customFormat="false" ht="15.75" hidden="false" customHeight="false" outlineLevel="0" collapsed="false">
      <c r="B49" s="124"/>
      <c r="C49" s="77"/>
      <c r="D49" s="375"/>
    </row>
    <row r="50" customFormat="false" ht="15.75" hidden="false" customHeight="false" outlineLevel="0" collapsed="false">
      <c r="B50" s="124" t="s">
        <v>317</v>
      </c>
      <c r="C50" s="77" t="n">
        <v>2020</v>
      </c>
      <c r="D50" s="375" t="n">
        <f aca="false">'Industries data'!H49/'Industries data'!F49</f>
        <v>0.336514855021942</v>
      </c>
    </row>
    <row r="51" customFormat="false" ht="15.75" hidden="false" customHeight="false" outlineLevel="0" collapsed="false">
      <c r="B51" s="124" t="s">
        <v>317</v>
      </c>
      <c r="C51" s="77" t="n">
        <v>2019</v>
      </c>
      <c r="D51" s="375" t="n">
        <f aca="false">'Industries data'!H50/'Industries data'!F50</f>
        <v>0.345028631767047</v>
      </c>
    </row>
    <row r="52" customFormat="false" ht="15.75" hidden="false" customHeight="false" outlineLevel="0" collapsed="false">
      <c r="B52" s="124" t="s">
        <v>317</v>
      </c>
      <c r="C52" s="77" t="n">
        <v>2018</v>
      </c>
      <c r="D52" s="375" t="n">
        <f aca="false">'Industries data'!H51/'Industries data'!F51</f>
        <v>0.359438513159159</v>
      </c>
    </row>
    <row r="53" customFormat="false" ht="15.75" hidden="false" customHeight="false" outlineLevel="0" collapsed="false">
      <c r="B53" s="124" t="s">
        <v>317</v>
      </c>
      <c r="C53" s="77" t="n">
        <v>2017</v>
      </c>
      <c r="D53" s="375" t="n">
        <f aca="false">'Industries data'!H52/'Industries data'!F52</f>
        <v>0.362410613473843</v>
      </c>
    </row>
    <row r="54" customFormat="false" ht="15.75" hidden="false" customHeight="false" outlineLevel="0" collapsed="false">
      <c r="B54" s="124" t="s">
        <v>317</v>
      </c>
      <c r="C54" s="77" t="n">
        <v>2016</v>
      </c>
      <c r="D54" s="375" t="n">
        <f aca="false">'Industries data'!H53/'Industries data'!F53</f>
        <v>0.378521294527299</v>
      </c>
    </row>
    <row r="55" customFormat="false" ht="15.75" hidden="false" customHeight="false" outlineLevel="0" collapsed="false">
      <c r="B55" s="124" t="s">
        <v>317</v>
      </c>
      <c r="C55" s="77" t="n">
        <v>2015</v>
      </c>
      <c r="D55" s="375" t="n">
        <f aca="false">'Industries data'!H54/'Industries data'!F54</f>
        <v>0.382767389214501</v>
      </c>
    </row>
    <row r="56" customFormat="false" ht="15.75" hidden="false" customHeight="false" outlineLevel="0" collapsed="false">
      <c r="B56" s="124" t="s">
        <v>317</v>
      </c>
      <c r="C56" s="77" t="n">
        <v>2014</v>
      </c>
      <c r="D56" s="375" t="n">
        <f aca="false">'Industries data'!H55/'Industries data'!F55</f>
        <v>0.421874883300595</v>
      </c>
    </row>
    <row r="57" customFormat="false" ht="15.75" hidden="false" customHeight="false" outlineLevel="0" collapsed="false">
      <c r="B57" s="124" t="s">
        <v>317</v>
      </c>
      <c r="C57" s="77" t="n">
        <v>2013</v>
      </c>
      <c r="D57" s="375" t="n">
        <f aca="false">'Industries data'!H56/'Industries data'!F56</f>
        <v>0.452769230469807</v>
      </c>
    </row>
    <row r="58" customFormat="false" ht="15.75" hidden="false" customHeight="false" outlineLevel="0" collapsed="false">
      <c r="B58" s="124" t="s">
        <v>317</v>
      </c>
      <c r="C58" s="77" t="n">
        <v>2012</v>
      </c>
      <c r="D58" s="375" t="n">
        <f aca="false">'Industries data'!H57/'Industries data'!F57</f>
        <v>0.477708872875212</v>
      </c>
    </row>
    <row r="59" customFormat="false" ht="15.75" hidden="false" customHeight="false" outlineLevel="0" collapsed="false">
      <c r="B59" s="124" t="s">
        <v>317</v>
      </c>
      <c r="C59" s="77" t="n">
        <v>2011</v>
      </c>
      <c r="D59" s="375" t="n">
        <f aca="false">'Industries data'!H58/'Industries data'!F58</f>
        <v>0.453674627612155</v>
      </c>
    </row>
    <row r="60" customFormat="false" ht="15.75" hidden="false" customHeight="false" outlineLevel="0" collapsed="false">
      <c r="D60" s="77"/>
    </row>
    <row r="61" customFormat="false" ht="15.75" hidden="false" customHeight="false" outlineLevel="0" collapsed="false">
      <c r="B61" s="182" t="s">
        <v>1182</v>
      </c>
      <c r="C61" s="182"/>
      <c r="D61" s="376" t="n">
        <f aca="false">AVERAGEA(D5:D59)</f>
        <v>0.625971640967478</v>
      </c>
      <c r="F61" s="377" t="n">
        <f aca="false">D62</f>
        <v>0.669875870958152</v>
      </c>
    </row>
    <row r="62" customFormat="false" ht="15.75" hidden="false" customHeight="false" outlineLevel="0" collapsed="false">
      <c r="B62" s="320" t="s">
        <v>1180</v>
      </c>
      <c r="C62" s="320"/>
      <c r="D62" s="378" t="n">
        <f aca="false">MEDIAN(D5:D59)</f>
        <v>0.669875870958152</v>
      </c>
      <c r="H62" s="379"/>
    </row>
    <row r="63" customFormat="false" ht="15.75" hidden="false" customHeight="false" outlineLevel="0" collapsed="false">
      <c r="F63" s="379"/>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000000"/>
    <pageSetUpPr fitToPage="false"/>
  </sheetPr>
  <dimension ref="A1:AI1048576"/>
  <sheetViews>
    <sheetView showFormulas="false" showGridLines="true" showRowColHeaders="true" showZeros="true" rightToLeft="false" tabSelected="true" showOutlineSymbols="true" defaultGridColor="true" view="normal" topLeftCell="A1" colorId="64" zoomScale="50" zoomScaleNormal="50" zoomScalePageLayoutView="100" workbookViewId="0">
      <pane xSplit="0" ySplit="5" topLeftCell="A39" activePane="bottomLeft" state="frozen"/>
      <selection pane="topLeft" activeCell="A1" activeCellId="0" sqref="A1"/>
      <selection pane="bottomLeft" activeCell="A5" activeCellId="0" sqref="A5"/>
    </sheetView>
  </sheetViews>
  <sheetFormatPr defaultColWidth="8.5" defaultRowHeight="15.75" zeroHeight="false" outlineLevelRow="0" outlineLevelCol="0"/>
  <cols>
    <col collapsed="false" customWidth="true" hidden="false" outlineLevel="0" max="2" min="2" style="0" width="42.37"/>
    <col collapsed="false" customWidth="true" hidden="false" outlineLevel="0" max="21" min="3" style="0" width="14.63"/>
    <col collapsed="false" customWidth="true" hidden="false" outlineLevel="0" max="22" min="22" style="77" width="72.12"/>
    <col collapsed="false" customWidth="true" hidden="false" outlineLevel="0" max="23" min="23" style="20" width="14.63"/>
    <col collapsed="false" customWidth="true" hidden="false" outlineLevel="0" max="30" min="30" style="0" width="16.26"/>
    <col collapsed="false" customWidth="true" hidden="false" outlineLevel="0" max="31" min="31" style="77" width="31"/>
  </cols>
  <sheetData>
    <row r="1" s="21" customFormat="true" ht="15.75" hidden="false" customHeight="false" outlineLevel="0" collapsed="false">
      <c r="V1" s="78"/>
      <c r="W1" s="22"/>
      <c r="AE1" s="78"/>
    </row>
    <row r="2" s="2" customFormat="true" ht="36.75" hidden="false" customHeight="true" outlineLevel="0" collapsed="false">
      <c r="B2" s="7" t="s">
        <v>455</v>
      </c>
      <c r="C2" s="7"/>
      <c r="D2" s="7"/>
      <c r="E2" s="7"/>
      <c r="F2" s="7"/>
      <c r="G2" s="7"/>
      <c r="H2" s="7"/>
      <c r="I2" s="7"/>
      <c r="J2" s="7"/>
      <c r="K2" s="7"/>
      <c r="L2" s="7"/>
      <c r="M2" s="7"/>
      <c r="N2" s="7"/>
      <c r="O2" s="7"/>
      <c r="P2" s="7"/>
      <c r="Q2" s="7"/>
      <c r="R2" s="7"/>
      <c r="S2" s="7"/>
      <c r="T2" s="7"/>
      <c r="U2" s="7"/>
      <c r="V2" s="7"/>
      <c r="W2" s="7"/>
      <c r="X2" s="8"/>
      <c r="Y2" s="8"/>
      <c r="Z2" s="8"/>
      <c r="AA2" s="8"/>
      <c r="AB2" s="8"/>
      <c r="AC2" s="8"/>
      <c r="AD2" s="8"/>
      <c r="AE2" s="8"/>
      <c r="AF2" s="8"/>
      <c r="AG2" s="8"/>
      <c r="AH2" s="8"/>
      <c r="AI2" s="8"/>
    </row>
    <row r="3" s="1" customFormat="true" ht="15.75" hidden="false" customHeight="false" outlineLevel="0" collapsed="false">
      <c r="A3" s="2"/>
      <c r="B3" s="5"/>
      <c r="C3" s="5"/>
      <c r="D3" s="5"/>
      <c r="E3" s="5"/>
      <c r="F3" s="5"/>
      <c r="G3" s="5"/>
      <c r="H3" s="5"/>
      <c r="I3" s="5"/>
      <c r="J3" s="5"/>
      <c r="K3" s="5"/>
      <c r="L3" s="5"/>
      <c r="M3" s="5"/>
      <c r="N3" s="5"/>
      <c r="O3" s="5"/>
      <c r="P3" s="5"/>
      <c r="Q3" s="5"/>
      <c r="R3" s="5"/>
      <c r="S3" s="5"/>
      <c r="T3" s="5"/>
      <c r="U3" s="5"/>
      <c r="V3" s="9"/>
      <c r="W3" s="5"/>
    </row>
    <row r="4" s="2" customFormat="true" ht="35.25" hidden="false" customHeight="true" outlineLevel="0" collapsed="false">
      <c r="B4" s="10" t="s">
        <v>1</v>
      </c>
      <c r="C4" s="10" t="s">
        <v>2</v>
      </c>
      <c r="D4" s="10" t="s">
        <v>3</v>
      </c>
      <c r="E4" s="10" t="s">
        <v>4</v>
      </c>
      <c r="F4" s="10" t="s">
        <v>5</v>
      </c>
      <c r="G4" s="13" t="s">
        <v>9</v>
      </c>
      <c r="H4" s="13" t="s">
        <v>10</v>
      </c>
      <c r="I4" s="13" t="s">
        <v>11</v>
      </c>
      <c r="J4" s="13" t="s">
        <v>12</v>
      </c>
      <c r="K4" s="13" t="s">
        <v>13</v>
      </c>
      <c r="L4" s="13" t="s">
        <v>14</v>
      </c>
      <c r="M4" s="13" t="s">
        <v>15</v>
      </c>
      <c r="N4" s="13" t="s">
        <v>16</v>
      </c>
      <c r="O4" s="13" t="s">
        <v>17</v>
      </c>
      <c r="P4" s="13" t="s">
        <v>18</v>
      </c>
      <c r="Q4" s="13" t="s">
        <v>19</v>
      </c>
      <c r="R4" s="13" t="s">
        <v>20</v>
      </c>
      <c r="S4" s="13" t="s">
        <v>21</v>
      </c>
      <c r="T4" s="13" t="s">
        <v>22</v>
      </c>
      <c r="U4" s="13" t="s">
        <v>23</v>
      </c>
      <c r="V4" s="11" t="s">
        <v>7</v>
      </c>
      <c r="W4" s="23" t="s">
        <v>68</v>
      </c>
      <c r="X4" s="1"/>
      <c r="Y4" s="1"/>
      <c r="Z4" s="1"/>
      <c r="AA4" s="1"/>
      <c r="AB4" s="1"/>
      <c r="AC4" s="1"/>
    </row>
    <row r="5" s="24" customFormat="true" ht="15.75" hidden="false" customHeight="false" outlineLevel="0" collapsed="false">
      <c r="V5" s="79"/>
      <c r="W5" s="25"/>
      <c r="AE5" s="79"/>
    </row>
    <row r="6" s="30" customFormat="true" ht="110.25" hidden="false" customHeight="false" outlineLevel="0" collapsed="false">
      <c r="A6" s="2"/>
      <c r="B6" s="2" t="s">
        <v>140</v>
      </c>
      <c r="C6" s="3" t="s">
        <v>141</v>
      </c>
      <c r="D6" s="3" t="n">
        <v>2020</v>
      </c>
      <c r="E6" s="20" t="s">
        <v>142</v>
      </c>
      <c r="F6" s="3" t="s">
        <v>45</v>
      </c>
      <c r="G6" s="32" t="s">
        <v>46</v>
      </c>
      <c r="H6" s="32" t="s">
        <v>74</v>
      </c>
      <c r="I6" s="32" t="s">
        <v>47</v>
      </c>
      <c r="J6" s="32" t="n">
        <v>28</v>
      </c>
      <c r="K6" s="3" t="n">
        <v>300</v>
      </c>
      <c r="L6" s="3" t="s">
        <v>53</v>
      </c>
      <c r="M6" s="3" t="s">
        <v>104</v>
      </c>
      <c r="N6" s="3" t="s">
        <v>53</v>
      </c>
      <c r="O6" s="3" t="s">
        <v>75</v>
      </c>
      <c r="P6" s="3" t="s">
        <v>89</v>
      </c>
      <c r="Q6" s="3" t="s">
        <v>50</v>
      </c>
      <c r="R6" s="32" t="s">
        <v>47</v>
      </c>
      <c r="S6" s="3" t="s">
        <v>73</v>
      </c>
      <c r="T6" s="3" t="s">
        <v>47</v>
      </c>
      <c r="U6" s="3" t="s">
        <v>47</v>
      </c>
      <c r="V6" s="4" t="s">
        <v>456</v>
      </c>
      <c r="W6" s="28" t="n">
        <f aca="false">'Bardon data'!C$19</f>
        <v>5.764</v>
      </c>
      <c r="X6" s="2"/>
      <c r="Y6" s="2"/>
      <c r="Z6" s="2"/>
      <c r="AA6" s="2"/>
      <c r="AB6" s="2"/>
      <c r="AC6" s="2"/>
      <c r="AD6" s="2"/>
      <c r="AE6" s="2"/>
      <c r="AF6" s="2"/>
    </row>
    <row r="7" s="30" customFormat="true" ht="110.25" hidden="false" customHeight="false" outlineLevel="0" collapsed="false">
      <c r="A7" s="2"/>
      <c r="B7" s="2" t="s">
        <v>140</v>
      </c>
      <c r="C7" s="32" t="s">
        <v>141</v>
      </c>
      <c r="D7" s="3" t="n">
        <v>2020</v>
      </c>
      <c r="E7" s="20" t="s">
        <v>142</v>
      </c>
      <c r="F7" s="27" t="s">
        <v>45</v>
      </c>
      <c r="G7" s="3" t="s">
        <v>46</v>
      </c>
      <c r="H7" s="32" t="s">
        <v>74</v>
      </c>
      <c r="I7" s="3" t="s">
        <v>47</v>
      </c>
      <c r="J7" s="32" t="n">
        <v>20</v>
      </c>
      <c r="K7" s="3" t="n">
        <v>300</v>
      </c>
      <c r="L7" s="3" t="s">
        <v>53</v>
      </c>
      <c r="M7" s="3" t="s">
        <v>104</v>
      </c>
      <c r="N7" s="3" t="s">
        <v>53</v>
      </c>
      <c r="O7" s="3" t="s">
        <v>75</v>
      </c>
      <c r="P7" s="3" t="s">
        <v>89</v>
      </c>
      <c r="Q7" s="3" t="s">
        <v>50</v>
      </c>
      <c r="R7" s="3" t="s">
        <v>47</v>
      </c>
      <c r="S7" s="3" t="s">
        <v>73</v>
      </c>
      <c r="T7" s="3" t="s">
        <v>47</v>
      </c>
      <c r="U7" s="3" t="s">
        <v>47</v>
      </c>
      <c r="V7" s="4" t="s">
        <v>456</v>
      </c>
      <c r="W7" s="28" t="n">
        <f aca="false">'Bardon data'!D$19</f>
        <v>6.364</v>
      </c>
      <c r="X7" s="29"/>
      <c r="Y7" s="29"/>
      <c r="Z7" s="2"/>
      <c r="AA7" s="2"/>
      <c r="AB7" s="2"/>
      <c r="AC7" s="2"/>
      <c r="AD7" s="2"/>
      <c r="AE7" s="2"/>
      <c r="AF7" s="2"/>
    </row>
    <row r="8" s="30" customFormat="true" ht="110.25" hidden="false" customHeight="false" outlineLevel="0" collapsed="false">
      <c r="A8" s="2"/>
      <c r="B8" s="2" t="s">
        <v>140</v>
      </c>
      <c r="C8" s="32" t="s">
        <v>141</v>
      </c>
      <c r="D8" s="3" t="n">
        <v>2020</v>
      </c>
      <c r="E8" s="20" t="s">
        <v>142</v>
      </c>
      <c r="F8" s="27" t="s">
        <v>45</v>
      </c>
      <c r="G8" s="3" t="s">
        <v>46</v>
      </c>
      <c r="H8" s="32" t="s">
        <v>74</v>
      </c>
      <c r="I8" s="3" t="s">
        <v>47</v>
      </c>
      <c r="J8" s="32" t="n">
        <v>14</v>
      </c>
      <c r="K8" s="3" t="n">
        <v>300</v>
      </c>
      <c r="L8" s="3" t="s">
        <v>53</v>
      </c>
      <c r="M8" s="3" t="s">
        <v>104</v>
      </c>
      <c r="N8" s="3" t="s">
        <v>53</v>
      </c>
      <c r="O8" s="3" t="s">
        <v>75</v>
      </c>
      <c r="P8" s="3" t="s">
        <v>89</v>
      </c>
      <c r="Q8" s="3" t="s">
        <v>50</v>
      </c>
      <c r="R8" s="3" t="s">
        <v>47</v>
      </c>
      <c r="S8" s="3" t="s">
        <v>73</v>
      </c>
      <c r="T8" s="3" t="s">
        <v>47</v>
      </c>
      <c r="U8" s="3" t="s">
        <v>47</v>
      </c>
      <c r="V8" s="4" t="s">
        <v>456</v>
      </c>
      <c r="W8" s="28" t="n">
        <f aca="false">'Bardon data'!E$19</f>
        <v>6.182</v>
      </c>
      <c r="X8" s="29"/>
      <c r="Y8" s="29"/>
      <c r="Z8" s="2"/>
      <c r="AA8" s="2"/>
      <c r="AB8" s="2"/>
      <c r="AC8" s="2"/>
      <c r="AD8" s="2"/>
      <c r="AE8" s="2"/>
      <c r="AF8" s="2"/>
    </row>
    <row r="9" s="30" customFormat="true" ht="110.25" hidden="false" customHeight="false" outlineLevel="0" collapsed="false">
      <c r="A9" s="2"/>
      <c r="B9" s="2" t="s">
        <v>140</v>
      </c>
      <c r="C9" s="32" t="s">
        <v>141</v>
      </c>
      <c r="D9" s="3" t="n">
        <v>2020</v>
      </c>
      <c r="E9" s="20" t="s">
        <v>142</v>
      </c>
      <c r="F9" s="27" t="s">
        <v>45</v>
      </c>
      <c r="G9" s="3" t="s">
        <v>46</v>
      </c>
      <c r="H9" s="32" t="s">
        <v>74</v>
      </c>
      <c r="I9" s="3" t="s">
        <v>47</v>
      </c>
      <c r="J9" s="32" t="n">
        <v>10</v>
      </c>
      <c r="K9" s="3" t="n">
        <v>300</v>
      </c>
      <c r="L9" s="3" t="s">
        <v>53</v>
      </c>
      <c r="M9" s="3" t="s">
        <v>104</v>
      </c>
      <c r="N9" s="3" t="s">
        <v>53</v>
      </c>
      <c r="O9" s="3" t="s">
        <v>75</v>
      </c>
      <c r="P9" s="3" t="s">
        <v>89</v>
      </c>
      <c r="Q9" s="3" t="s">
        <v>50</v>
      </c>
      <c r="R9" s="3" t="s">
        <v>47</v>
      </c>
      <c r="S9" s="3" t="s">
        <v>73</v>
      </c>
      <c r="T9" s="3" t="s">
        <v>47</v>
      </c>
      <c r="U9" s="3" t="s">
        <v>47</v>
      </c>
      <c r="V9" s="4" t="s">
        <v>456</v>
      </c>
      <c r="W9" s="28" t="n">
        <f aca="false">'Bardon data'!F$19</f>
        <v>7.591</v>
      </c>
      <c r="X9" s="29"/>
      <c r="Y9" s="29"/>
      <c r="Z9" s="2"/>
      <c r="AA9" s="2"/>
      <c r="AB9" s="2"/>
      <c r="AC9" s="2"/>
      <c r="AD9" s="2"/>
      <c r="AE9" s="2"/>
      <c r="AF9" s="2"/>
    </row>
    <row r="10" s="30" customFormat="true" ht="110.25" hidden="false" customHeight="false" outlineLevel="0" collapsed="false">
      <c r="A10" s="2"/>
      <c r="B10" s="2" t="s">
        <v>140</v>
      </c>
      <c r="C10" s="32" t="s">
        <v>141</v>
      </c>
      <c r="D10" s="3" t="n">
        <v>2020</v>
      </c>
      <c r="E10" s="20" t="s">
        <v>142</v>
      </c>
      <c r="F10" s="27" t="s">
        <v>45</v>
      </c>
      <c r="G10" s="3" t="s">
        <v>46</v>
      </c>
      <c r="H10" s="32" t="s">
        <v>74</v>
      </c>
      <c r="I10" s="3" t="s">
        <v>47</v>
      </c>
      <c r="J10" s="32" t="n">
        <v>8</v>
      </c>
      <c r="K10" s="3" t="n">
        <v>300</v>
      </c>
      <c r="L10" s="3" t="s">
        <v>53</v>
      </c>
      <c r="M10" s="3" t="s">
        <v>104</v>
      </c>
      <c r="N10" s="3" t="s">
        <v>53</v>
      </c>
      <c r="O10" s="3" t="s">
        <v>75</v>
      </c>
      <c r="P10" s="3" t="s">
        <v>89</v>
      </c>
      <c r="Q10" s="3" t="s">
        <v>50</v>
      </c>
      <c r="R10" s="3" t="s">
        <v>47</v>
      </c>
      <c r="S10" s="3" t="s">
        <v>73</v>
      </c>
      <c r="T10" s="3" t="s">
        <v>47</v>
      </c>
      <c r="U10" s="3" t="s">
        <v>47</v>
      </c>
      <c r="V10" s="4" t="s">
        <v>456</v>
      </c>
      <c r="W10" s="28" t="n">
        <f aca="false">'Bardon data'!G$19</f>
        <v>7.926</v>
      </c>
      <c r="X10" s="29"/>
      <c r="Y10" s="29"/>
      <c r="Z10" s="2"/>
      <c r="AA10" s="2"/>
      <c r="AB10" s="2"/>
      <c r="AC10" s="2"/>
      <c r="AD10" s="2"/>
      <c r="AE10" s="2"/>
      <c r="AF10" s="2"/>
    </row>
    <row r="11" s="30" customFormat="true" ht="110.25" hidden="false" customHeight="false" outlineLevel="0" collapsed="false">
      <c r="A11" s="2"/>
      <c r="B11" s="2" t="s">
        <v>140</v>
      </c>
      <c r="C11" s="32" t="s">
        <v>141</v>
      </c>
      <c r="D11" s="3" t="n">
        <v>2020</v>
      </c>
      <c r="E11" s="20" t="s">
        <v>142</v>
      </c>
      <c r="F11" s="27" t="s">
        <v>45</v>
      </c>
      <c r="G11" s="3" t="s">
        <v>46</v>
      </c>
      <c r="H11" s="32" t="s">
        <v>74</v>
      </c>
      <c r="I11" s="3" t="s">
        <v>47</v>
      </c>
      <c r="J11" s="32" t="n">
        <v>7</v>
      </c>
      <c r="K11" s="3" t="n">
        <v>300</v>
      </c>
      <c r="L11" s="3" t="s">
        <v>53</v>
      </c>
      <c r="M11" s="3" t="s">
        <v>104</v>
      </c>
      <c r="N11" s="3" t="s">
        <v>53</v>
      </c>
      <c r="O11" s="3" t="s">
        <v>75</v>
      </c>
      <c r="P11" s="3" t="s">
        <v>89</v>
      </c>
      <c r="Q11" s="3" t="s">
        <v>50</v>
      </c>
      <c r="R11" s="3" t="s">
        <v>47</v>
      </c>
      <c r="S11" s="3" t="s">
        <v>73</v>
      </c>
      <c r="T11" s="3" t="s">
        <v>47</v>
      </c>
      <c r="U11" s="3" t="s">
        <v>47</v>
      </c>
      <c r="V11" s="4" t="s">
        <v>456</v>
      </c>
      <c r="W11" s="28" t="n">
        <f aca="false">'Bardon data'!H$19</f>
        <v>10.045</v>
      </c>
      <c r="X11" s="29"/>
      <c r="Y11" s="29"/>
      <c r="Z11" s="2"/>
      <c r="AA11" s="2"/>
      <c r="AB11" s="2"/>
      <c r="AC11" s="2"/>
      <c r="AD11" s="2"/>
      <c r="AE11" s="2"/>
      <c r="AF11" s="2"/>
    </row>
    <row r="12" s="30" customFormat="true" ht="110.25" hidden="false" customHeight="false" outlineLevel="0" collapsed="false">
      <c r="A12" s="2"/>
      <c r="B12" s="2" t="s">
        <v>140</v>
      </c>
      <c r="C12" s="32" t="s">
        <v>141</v>
      </c>
      <c r="D12" s="3" t="n">
        <v>2020</v>
      </c>
      <c r="E12" s="20" t="s">
        <v>142</v>
      </c>
      <c r="F12" s="27" t="s">
        <v>45</v>
      </c>
      <c r="G12" s="3" t="s">
        <v>46</v>
      </c>
      <c r="H12" s="32" t="s">
        <v>74</v>
      </c>
      <c r="I12" s="3" t="s">
        <v>47</v>
      </c>
      <c r="J12" s="32" t="n">
        <v>6</v>
      </c>
      <c r="K12" s="3" t="n">
        <v>300</v>
      </c>
      <c r="L12" s="3" t="s">
        <v>53</v>
      </c>
      <c r="M12" s="3" t="s">
        <v>104</v>
      </c>
      <c r="N12" s="3" t="s">
        <v>53</v>
      </c>
      <c r="O12" s="3" t="s">
        <v>75</v>
      </c>
      <c r="P12" s="3" t="s">
        <v>89</v>
      </c>
      <c r="Q12" s="3" t="s">
        <v>50</v>
      </c>
      <c r="R12" s="3" t="s">
        <v>47</v>
      </c>
      <c r="S12" s="3" t="s">
        <v>73</v>
      </c>
      <c r="T12" s="3" t="s">
        <v>47</v>
      </c>
      <c r="U12" s="3" t="s">
        <v>47</v>
      </c>
      <c r="V12" s="4" t="s">
        <v>456</v>
      </c>
      <c r="W12" s="28" t="n">
        <f aca="false">'Bardon data'!I$19</f>
        <v>12.374</v>
      </c>
      <c r="X12" s="29"/>
      <c r="Y12" s="29"/>
      <c r="Z12" s="2"/>
      <c r="AA12" s="2"/>
      <c r="AB12" s="2"/>
      <c r="AC12" s="2"/>
      <c r="AD12" s="2"/>
      <c r="AE12" s="2"/>
      <c r="AF12" s="2"/>
    </row>
    <row r="13" s="30" customFormat="true" ht="110.25" hidden="false" customHeight="false" outlineLevel="0" collapsed="false">
      <c r="A13" s="2"/>
      <c r="B13" s="2" t="s">
        <v>140</v>
      </c>
      <c r="C13" s="32" t="s">
        <v>141</v>
      </c>
      <c r="D13" s="3" t="n">
        <v>2020</v>
      </c>
      <c r="E13" s="20" t="s">
        <v>142</v>
      </c>
      <c r="F13" s="27" t="s">
        <v>45</v>
      </c>
      <c r="G13" s="3" t="s">
        <v>46</v>
      </c>
      <c r="H13" s="32" t="s">
        <v>74</v>
      </c>
      <c r="I13" s="3" t="s">
        <v>47</v>
      </c>
      <c r="J13" s="32" t="n">
        <v>5</v>
      </c>
      <c r="K13" s="3" t="n">
        <v>300</v>
      </c>
      <c r="L13" s="3" t="s">
        <v>53</v>
      </c>
      <c r="M13" s="3" t="s">
        <v>104</v>
      </c>
      <c r="N13" s="3" t="s">
        <v>53</v>
      </c>
      <c r="O13" s="3" t="s">
        <v>75</v>
      </c>
      <c r="P13" s="3" t="s">
        <v>89</v>
      </c>
      <c r="Q13" s="3" t="s">
        <v>50</v>
      </c>
      <c r="R13" s="3" t="s">
        <v>47</v>
      </c>
      <c r="S13" s="3" t="s">
        <v>73</v>
      </c>
      <c r="T13" s="3" t="s">
        <v>47</v>
      </c>
      <c r="U13" s="3" t="s">
        <v>47</v>
      </c>
      <c r="V13" s="4" t="s">
        <v>456</v>
      </c>
      <c r="W13" s="28" t="n">
        <f aca="false">'Bardon data'!J$19</f>
        <v>12.611</v>
      </c>
      <c r="X13" s="29"/>
      <c r="Y13" s="29"/>
      <c r="Z13" s="2"/>
      <c r="AA13" s="2"/>
      <c r="AB13" s="2"/>
      <c r="AC13" s="2"/>
      <c r="AD13" s="2"/>
      <c r="AE13" s="2"/>
      <c r="AF13" s="2"/>
    </row>
    <row r="14" s="30" customFormat="true" ht="110.25" hidden="false" customHeight="false" outlineLevel="0" collapsed="false">
      <c r="A14" s="2"/>
      <c r="B14" s="2" t="s">
        <v>140</v>
      </c>
      <c r="C14" s="3" t="s">
        <v>141</v>
      </c>
      <c r="D14" s="3" t="n">
        <v>2020</v>
      </c>
      <c r="E14" s="20" t="s">
        <v>142</v>
      </c>
      <c r="F14" s="3" t="s">
        <v>45</v>
      </c>
      <c r="G14" s="32" t="s">
        <v>46</v>
      </c>
      <c r="H14" s="32" t="s">
        <v>74</v>
      </c>
      <c r="I14" s="32" t="s">
        <v>47</v>
      </c>
      <c r="J14" s="32" t="n">
        <v>3</v>
      </c>
      <c r="K14" s="3" t="n">
        <v>300</v>
      </c>
      <c r="L14" s="3" t="s">
        <v>53</v>
      </c>
      <c r="M14" s="3" t="s">
        <v>104</v>
      </c>
      <c r="N14" s="3" t="s">
        <v>53</v>
      </c>
      <c r="O14" s="3" t="s">
        <v>75</v>
      </c>
      <c r="P14" s="3" t="s">
        <v>89</v>
      </c>
      <c r="Q14" s="3" t="s">
        <v>50</v>
      </c>
      <c r="R14" s="32" t="s">
        <v>47</v>
      </c>
      <c r="S14" s="3" t="s">
        <v>73</v>
      </c>
      <c r="T14" s="3" t="s">
        <v>47</v>
      </c>
      <c r="U14" s="3" t="s">
        <v>47</v>
      </c>
      <c r="V14" s="4" t="s">
        <v>456</v>
      </c>
      <c r="W14" s="28" t="n">
        <f aca="false">'Bardon data'!K$19</f>
        <v>14.41</v>
      </c>
      <c r="X14" s="2"/>
      <c r="Y14" s="2"/>
      <c r="Z14" s="2"/>
      <c r="AA14" s="2"/>
      <c r="AB14" s="2"/>
      <c r="AC14" s="2"/>
      <c r="AD14" s="2"/>
      <c r="AE14" s="2"/>
      <c r="AF14" s="2"/>
    </row>
    <row r="15" s="30" customFormat="true" ht="126" hidden="false" customHeight="false" outlineLevel="0" collapsed="false">
      <c r="A15" s="2"/>
      <c r="B15" s="2" t="s">
        <v>85</v>
      </c>
      <c r="C15" s="3" t="s">
        <v>86</v>
      </c>
      <c r="D15" s="3" t="n">
        <v>2012</v>
      </c>
      <c r="E15" s="20" t="s">
        <v>87</v>
      </c>
      <c r="F15" s="3" t="s">
        <v>45</v>
      </c>
      <c r="G15" s="3" t="s">
        <v>46</v>
      </c>
      <c r="H15" s="3" t="s">
        <v>47</v>
      </c>
      <c r="I15" s="32" t="s">
        <v>457</v>
      </c>
      <c r="J15" s="3" t="n">
        <v>350</v>
      </c>
      <c r="K15" s="3" t="n">
        <v>200</v>
      </c>
      <c r="L15" s="3" t="s">
        <v>47</v>
      </c>
      <c r="M15" s="3" t="s">
        <v>47</v>
      </c>
      <c r="N15" s="3" t="s">
        <v>47</v>
      </c>
      <c r="O15" s="3" t="s">
        <v>88</v>
      </c>
      <c r="P15" s="3" t="s">
        <v>89</v>
      </c>
      <c r="Q15" s="3" t="s">
        <v>61</v>
      </c>
      <c r="R15" s="3" t="s">
        <v>47</v>
      </c>
      <c r="S15" s="3" t="s">
        <v>458</v>
      </c>
      <c r="T15" s="3" t="s">
        <v>363</v>
      </c>
      <c r="U15" s="3" t="s">
        <v>74</v>
      </c>
      <c r="V15" s="4" t="s">
        <v>459</v>
      </c>
      <c r="W15" s="33" t="n">
        <f aca="false">'Boyd data'!C21</f>
        <v>107.448979591837</v>
      </c>
      <c r="X15" s="2"/>
      <c r="Y15" s="2"/>
      <c r="Z15" s="2"/>
      <c r="AA15" s="2"/>
      <c r="AB15" s="2"/>
      <c r="AC15" s="2"/>
      <c r="AD15" s="2"/>
      <c r="AE15" s="2"/>
      <c r="AF15" s="2"/>
    </row>
    <row r="16" s="30" customFormat="true" ht="126" hidden="false" customHeight="false" outlineLevel="0" collapsed="false">
      <c r="A16" s="2"/>
      <c r="B16" s="2" t="s">
        <v>85</v>
      </c>
      <c r="C16" s="3" t="s">
        <v>86</v>
      </c>
      <c r="D16" s="3" t="n">
        <v>2012</v>
      </c>
      <c r="E16" s="20" t="s">
        <v>92</v>
      </c>
      <c r="F16" s="3" t="s">
        <v>45</v>
      </c>
      <c r="G16" s="3" t="s">
        <v>46</v>
      </c>
      <c r="H16" s="3" t="s">
        <v>47</v>
      </c>
      <c r="I16" s="32" t="s">
        <v>457</v>
      </c>
      <c r="J16" s="3" t="n">
        <v>250</v>
      </c>
      <c r="K16" s="3" t="n">
        <v>200</v>
      </c>
      <c r="L16" s="3" t="s">
        <v>47</v>
      </c>
      <c r="M16" s="3" t="s">
        <v>47</v>
      </c>
      <c r="N16" s="3" t="s">
        <v>47</v>
      </c>
      <c r="O16" s="3" t="s">
        <v>88</v>
      </c>
      <c r="P16" s="3" t="s">
        <v>89</v>
      </c>
      <c r="Q16" s="3" t="s">
        <v>61</v>
      </c>
      <c r="R16" s="3" t="s">
        <v>47</v>
      </c>
      <c r="S16" s="3" t="s">
        <v>458</v>
      </c>
      <c r="T16" s="3" t="s">
        <v>363</v>
      </c>
      <c r="U16" s="3" t="s">
        <v>74</v>
      </c>
      <c r="V16" s="4" t="s">
        <v>459</v>
      </c>
      <c r="W16" s="33" t="n">
        <f aca="false">'Boyd data'!D21</f>
        <v>60.4666666666667</v>
      </c>
      <c r="X16" s="2"/>
      <c r="Y16" s="2"/>
      <c r="Z16" s="2"/>
      <c r="AA16" s="2"/>
      <c r="AB16" s="2"/>
      <c r="AC16" s="2"/>
      <c r="AD16" s="2"/>
      <c r="AE16" s="2"/>
      <c r="AF16" s="2"/>
    </row>
    <row r="17" s="30" customFormat="true" ht="126" hidden="false" customHeight="false" outlineLevel="0" collapsed="false">
      <c r="A17" s="2"/>
      <c r="B17" s="2" t="s">
        <v>85</v>
      </c>
      <c r="C17" s="3" t="s">
        <v>86</v>
      </c>
      <c r="D17" s="3" t="n">
        <v>2012</v>
      </c>
      <c r="E17" s="20" t="s">
        <v>93</v>
      </c>
      <c r="F17" s="3" t="s">
        <v>45</v>
      </c>
      <c r="G17" s="3" t="s">
        <v>46</v>
      </c>
      <c r="H17" s="3" t="s">
        <v>47</v>
      </c>
      <c r="I17" s="32" t="s">
        <v>457</v>
      </c>
      <c r="J17" s="3" t="n">
        <v>180</v>
      </c>
      <c r="K17" s="3" t="n">
        <v>300</v>
      </c>
      <c r="L17" s="3" t="s">
        <v>47</v>
      </c>
      <c r="M17" s="3" t="s">
        <v>47</v>
      </c>
      <c r="N17" s="3" t="s">
        <v>47</v>
      </c>
      <c r="O17" s="3" t="s">
        <v>88</v>
      </c>
      <c r="P17" s="3" t="s">
        <v>89</v>
      </c>
      <c r="Q17" s="3" t="s">
        <v>61</v>
      </c>
      <c r="R17" s="3" t="s">
        <v>47</v>
      </c>
      <c r="S17" s="3" t="s">
        <v>458</v>
      </c>
      <c r="T17" s="3" t="s">
        <v>363</v>
      </c>
      <c r="U17" s="3" t="s">
        <v>74</v>
      </c>
      <c r="V17" s="4" t="s">
        <v>459</v>
      </c>
      <c r="W17" s="33" t="n">
        <f aca="false">'Boyd data'!E21</f>
        <v>79.6</v>
      </c>
      <c r="X17" s="2"/>
      <c r="Y17" s="2"/>
      <c r="Z17" s="2"/>
      <c r="AA17" s="2"/>
      <c r="AB17" s="2"/>
      <c r="AC17" s="2"/>
      <c r="AD17" s="2"/>
      <c r="AE17" s="2"/>
      <c r="AF17" s="2"/>
    </row>
    <row r="18" s="30" customFormat="true" ht="126" hidden="false" customHeight="false" outlineLevel="0" collapsed="false">
      <c r="A18" s="2"/>
      <c r="B18" s="2" t="s">
        <v>85</v>
      </c>
      <c r="C18" s="3" t="s">
        <v>86</v>
      </c>
      <c r="D18" s="3" t="n">
        <v>2012</v>
      </c>
      <c r="E18" s="20" t="s">
        <v>94</v>
      </c>
      <c r="F18" s="3" t="s">
        <v>45</v>
      </c>
      <c r="G18" s="3" t="s">
        <v>46</v>
      </c>
      <c r="H18" s="3" t="s">
        <v>47</v>
      </c>
      <c r="I18" s="32" t="s">
        <v>457</v>
      </c>
      <c r="J18" s="3" t="n">
        <v>130</v>
      </c>
      <c r="K18" s="3" t="n">
        <v>300</v>
      </c>
      <c r="L18" s="3" t="s">
        <v>47</v>
      </c>
      <c r="M18" s="3" t="s">
        <v>47</v>
      </c>
      <c r="N18" s="3" t="s">
        <v>47</v>
      </c>
      <c r="O18" s="3" t="s">
        <v>88</v>
      </c>
      <c r="P18" s="3" t="s">
        <v>89</v>
      </c>
      <c r="Q18" s="3" t="s">
        <v>61</v>
      </c>
      <c r="R18" s="3" t="s">
        <v>47</v>
      </c>
      <c r="S18" s="3" t="s">
        <v>458</v>
      </c>
      <c r="T18" s="3" t="s">
        <v>363</v>
      </c>
      <c r="U18" s="3" t="s">
        <v>74</v>
      </c>
      <c r="V18" s="4" t="s">
        <v>459</v>
      </c>
      <c r="W18" s="33" t="n">
        <f aca="false">'Boyd data'!F21</f>
        <v>67.1428571428572</v>
      </c>
      <c r="X18" s="2"/>
      <c r="Y18" s="2"/>
      <c r="Z18" s="2"/>
      <c r="AA18" s="2"/>
      <c r="AB18" s="2"/>
      <c r="AC18" s="2"/>
      <c r="AD18" s="2"/>
      <c r="AE18" s="2"/>
      <c r="AF18" s="2"/>
    </row>
    <row r="19" s="30" customFormat="true" ht="126" hidden="false" customHeight="false" outlineLevel="0" collapsed="false">
      <c r="A19" s="2"/>
      <c r="B19" s="2" t="s">
        <v>85</v>
      </c>
      <c r="C19" s="3" t="s">
        <v>86</v>
      </c>
      <c r="D19" s="3" t="n">
        <v>2012</v>
      </c>
      <c r="E19" s="20" t="s">
        <v>95</v>
      </c>
      <c r="F19" s="3" t="s">
        <v>45</v>
      </c>
      <c r="G19" s="3" t="s">
        <v>46</v>
      </c>
      <c r="H19" s="3" t="s">
        <v>47</v>
      </c>
      <c r="I19" s="32" t="s">
        <v>457</v>
      </c>
      <c r="J19" s="3" t="n">
        <v>90</v>
      </c>
      <c r="K19" s="3" t="n">
        <v>300</v>
      </c>
      <c r="L19" s="3" t="s">
        <v>47</v>
      </c>
      <c r="M19" s="3" t="s">
        <v>47</v>
      </c>
      <c r="N19" s="3" t="s">
        <v>47</v>
      </c>
      <c r="O19" s="3" t="s">
        <v>88</v>
      </c>
      <c r="P19" s="3" t="s">
        <v>89</v>
      </c>
      <c r="Q19" s="3" t="s">
        <v>61</v>
      </c>
      <c r="R19" s="3" t="s">
        <v>47</v>
      </c>
      <c r="S19" s="3" t="s">
        <v>458</v>
      </c>
      <c r="T19" s="3" t="s">
        <v>363</v>
      </c>
      <c r="U19" s="3" t="s">
        <v>74</v>
      </c>
      <c r="V19" s="4" t="s">
        <v>459</v>
      </c>
      <c r="W19" s="33" t="n">
        <f aca="false">'Boyd data'!G21</f>
        <v>66.0714285714286</v>
      </c>
      <c r="X19" s="2"/>
      <c r="Y19" s="2"/>
      <c r="Z19" s="2"/>
      <c r="AA19" s="2"/>
      <c r="AB19" s="2"/>
      <c r="AC19" s="2"/>
      <c r="AD19" s="2"/>
      <c r="AE19" s="2"/>
      <c r="AF19" s="2"/>
    </row>
    <row r="20" s="30" customFormat="true" ht="126" hidden="false" customHeight="false" outlineLevel="0" collapsed="false">
      <c r="A20" s="2"/>
      <c r="B20" s="2" t="s">
        <v>85</v>
      </c>
      <c r="C20" s="3" t="s">
        <v>86</v>
      </c>
      <c r="D20" s="3" t="n">
        <v>2012</v>
      </c>
      <c r="E20" s="20" t="s">
        <v>96</v>
      </c>
      <c r="F20" s="3" t="s">
        <v>45</v>
      </c>
      <c r="G20" s="3" t="s">
        <v>46</v>
      </c>
      <c r="H20" s="3" t="s">
        <v>47</v>
      </c>
      <c r="I20" s="32" t="s">
        <v>457</v>
      </c>
      <c r="J20" s="3" t="n">
        <v>65</v>
      </c>
      <c r="K20" s="3" t="n">
        <v>300</v>
      </c>
      <c r="L20" s="3" t="s">
        <v>47</v>
      </c>
      <c r="M20" s="3" t="s">
        <v>47</v>
      </c>
      <c r="N20" s="3" t="s">
        <v>47</v>
      </c>
      <c r="O20" s="3" t="s">
        <v>88</v>
      </c>
      <c r="P20" s="3" t="s">
        <v>89</v>
      </c>
      <c r="Q20" s="3" t="s">
        <v>61</v>
      </c>
      <c r="R20" s="3" t="s">
        <v>47</v>
      </c>
      <c r="S20" s="3" t="s">
        <v>458</v>
      </c>
      <c r="T20" s="3" t="s">
        <v>363</v>
      </c>
      <c r="U20" s="3" t="s">
        <v>74</v>
      </c>
      <c r="V20" s="4" t="s">
        <v>459</v>
      </c>
      <c r="W20" s="33" t="n">
        <f aca="false">'Boyd data'!H21</f>
        <v>56.2142857142857</v>
      </c>
      <c r="X20" s="2"/>
      <c r="Y20" s="2"/>
      <c r="Z20" s="2"/>
      <c r="AA20" s="2"/>
      <c r="AB20" s="2"/>
      <c r="AC20" s="2"/>
      <c r="AD20" s="2"/>
      <c r="AE20" s="2"/>
      <c r="AF20" s="2"/>
    </row>
    <row r="21" s="30" customFormat="true" ht="126" hidden="false" customHeight="false" outlineLevel="0" collapsed="false">
      <c r="A21" s="2"/>
      <c r="B21" s="2" t="s">
        <v>85</v>
      </c>
      <c r="C21" s="3" t="s">
        <v>86</v>
      </c>
      <c r="D21" s="3" t="n">
        <v>2012</v>
      </c>
      <c r="E21" s="20" t="s">
        <v>97</v>
      </c>
      <c r="F21" s="3" t="s">
        <v>45</v>
      </c>
      <c r="G21" s="3" t="s">
        <v>46</v>
      </c>
      <c r="H21" s="3" t="s">
        <v>47</v>
      </c>
      <c r="I21" s="32" t="s">
        <v>457</v>
      </c>
      <c r="J21" s="3" t="n">
        <v>45</v>
      </c>
      <c r="K21" s="3" t="n">
        <v>300</v>
      </c>
      <c r="L21" s="3" t="s">
        <v>47</v>
      </c>
      <c r="M21" s="3" t="s">
        <v>47</v>
      </c>
      <c r="N21" s="3" t="s">
        <v>47</v>
      </c>
      <c r="O21" s="3" t="s">
        <v>88</v>
      </c>
      <c r="P21" s="3" t="s">
        <v>89</v>
      </c>
      <c r="Q21" s="3" t="s">
        <v>61</v>
      </c>
      <c r="R21" s="3" t="s">
        <v>47</v>
      </c>
      <c r="S21" s="3" t="s">
        <v>458</v>
      </c>
      <c r="T21" s="3" t="s">
        <v>363</v>
      </c>
      <c r="U21" s="3" t="s">
        <v>74</v>
      </c>
      <c r="V21" s="4" t="s">
        <v>459</v>
      </c>
      <c r="W21" s="33" t="n">
        <f aca="false">'Boyd data'!I21</f>
        <v>46.5714285714286</v>
      </c>
      <c r="X21" s="2"/>
      <c r="Y21" s="2"/>
      <c r="Z21" s="2"/>
      <c r="AA21" s="2"/>
      <c r="AB21" s="2"/>
      <c r="AC21" s="2"/>
      <c r="AD21" s="2"/>
      <c r="AE21" s="2"/>
      <c r="AF21" s="2"/>
    </row>
    <row r="22" s="30" customFormat="true" ht="126" hidden="false" customHeight="false" outlineLevel="0" collapsed="false">
      <c r="A22" s="2"/>
      <c r="B22" s="2" t="s">
        <v>85</v>
      </c>
      <c r="C22" s="3" t="s">
        <v>86</v>
      </c>
      <c r="D22" s="3" t="n">
        <v>2012</v>
      </c>
      <c r="E22" s="20" t="s">
        <v>98</v>
      </c>
      <c r="F22" s="3" t="s">
        <v>45</v>
      </c>
      <c r="G22" s="3" t="s">
        <v>46</v>
      </c>
      <c r="H22" s="3" t="s">
        <v>47</v>
      </c>
      <c r="I22" s="32" t="s">
        <v>457</v>
      </c>
      <c r="J22" s="3" t="n">
        <v>32</v>
      </c>
      <c r="K22" s="3" t="n">
        <v>300</v>
      </c>
      <c r="L22" s="3" t="s">
        <v>47</v>
      </c>
      <c r="M22" s="3" t="s">
        <v>47</v>
      </c>
      <c r="N22" s="3" t="s">
        <v>47</v>
      </c>
      <c r="O22" s="3" t="s">
        <v>88</v>
      </c>
      <c r="P22" s="3" t="s">
        <v>89</v>
      </c>
      <c r="Q22" s="3" t="s">
        <v>61</v>
      </c>
      <c r="R22" s="3" t="s">
        <v>47</v>
      </c>
      <c r="S22" s="3" t="s">
        <v>458</v>
      </c>
      <c r="T22" s="3" t="s">
        <v>363</v>
      </c>
      <c r="U22" s="3" t="s">
        <v>74</v>
      </c>
      <c r="V22" s="4" t="s">
        <v>459</v>
      </c>
      <c r="W22" s="33" t="n">
        <f aca="false">'Boyd data'!J21</f>
        <v>47.3571428571429</v>
      </c>
      <c r="X22" s="2"/>
      <c r="Y22" s="2"/>
      <c r="Z22" s="2"/>
      <c r="AA22" s="2"/>
      <c r="AB22" s="2"/>
      <c r="AC22" s="2"/>
      <c r="AD22" s="2"/>
      <c r="AE22" s="2"/>
      <c r="AF22" s="2"/>
    </row>
    <row r="23" s="30" customFormat="true" ht="126" hidden="false" customHeight="false" outlineLevel="0" collapsed="false">
      <c r="A23" s="2"/>
      <c r="B23" s="2" t="s">
        <v>383</v>
      </c>
      <c r="C23" s="32" t="s">
        <v>384</v>
      </c>
      <c r="D23" s="3" t="n">
        <v>2013</v>
      </c>
      <c r="E23" s="31" t="s">
        <v>460</v>
      </c>
      <c r="F23" s="3" t="s">
        <v>45</v>
      </c>
      <c r="G23" s="32" t="s">
        <v>461</v>
      </c>
      <c r="H23" s="32" t="s">
        <v>47</v>
      </c>
      <c r="I23" s="32" t="s">
        <v>53</v>
      </c>
      <c r="J23" s="32" t="n">
        <v>45</v>
      </c>
      <c r="K23" s="32" t="n">
        <v>300</v>
      </c>
      <c r="L23" s="3" t="s">
        <v>74</v>
      </c>
      <c r="M23" s="3" t="s">
        <v>75</v>
      </c>
      <c r="N23" s="3" t="s">
        <v>125</v>
      </c>
      <c r="O23" s="3" t="s">
        <v>75</v>
      </c>
      <c r="P23" s="3" t="s">
        <v>174</v>
      </c>
      <c r="Q23" s="3" t="s">
        <v>454</v>
      </c>
      <c r="R23" s="32" t="s">
        <v>462</v>
      </c>
      <c r="S23" s="3" t="s">
        <v>458</v>
      </c>
      <c r="T23" s="3" t="s">
        <v>53</v>
      </c>
      <c r="U23" s="3" t="s">
        <v>47</v>
      </c>
      <c r="V23" s="4" t="s">
        <v>463</v>
      </c>
      <c r="W23" s="33" t="n">
        <f aca="false">'Prakash data'!K12</f>
        <v>7.88</v>
      </c>
      <c r="X23" s="2"/>
      <c r="Y23" s="2"/>
      <c r="Z23" s="2"/>
      <c r="AA23" s="2"/>
      <c r="AB23" s="2"/>
      <c r="AC23" s="2"/>
      <c r="AD23" s="2"/>
      <c r="AE23" s="2"/>
      <c r="AF23" s="2"/>
    </row>
    <row r="24" s="47" customFormat="true" ht="15.75" hidden="false" customHeight="false" outlineLevel="0" collapsed="false">
      <c r="A24" s="40"/>
      <c r="B24" s="40"/>
      <c r="C24" s="80"/>
      <c r="D24" s="80"/>
      <c r="F24" s="80"/>
      <c r="G24" s="80"/>
      <c r="H24" s="80"/>
      <c r="I24" s="80"/>
      <c r="J24" s="80"/>
      <c r="K24" s="80"/>
      <c r="L24" s="80"/>
      <c r="M24" s="80"/>
      <c r="N24" s="80"/>
      <c r="O24" s="80"/>
      <c r="P24" s="80"/>
      <c r="Q24" s="80"/>
      <c r="R24" s="80"/>
      <c r="S24" s="80"/>
      <c r="T24" s="80"/>
      <c r="U24" s="80"/>
      <c r="V24" s="44"/>
      <c r="W24" s="45"/>
      <c r="X24" s="40"/>
      <c r="Y24" s="40"/>
      <c r="Z24" s="40"/>
      <c r="AA24" s="40"/>
      <c r="AB24" s="40"/>
      <c r="AC24" s="40"/>
      <c r="AD24" s="40"/>
      <c r="AE24" s="40"/>
      <c r="AF24" s="40"/>
    </row>
    <row r="25" s="30" customFormat="true" ht="31.5" hidden="false" customHeight="false" outlineLevel="0" collapsed="false">
      <c r="A25" s="2"/>
      <c r="B25" s="35" t="s">
        <v>170</v>
      </c>
      <c r="C25" s="32" t="s">
        <v>171</v>
      </c>
      <c r="D25" s="3" t="n">
        <v>1993</v>
      </c>
      <c r="E25" s="20" t="s">
        <v>172</v>
      </c>
      <c r="F25" s="32" t="s">
        <v>51</v>
      </c>
      <c r="G25" s="32" t="s">
        <v>58</v>
      </c>
      <c r="H25" s="32" t="s">
        <v>47</v>
      </c>
      <c r="I25" s="32" t="s">
        <v>75</v>
      </c>
      <c r="J25" s="32" t="s">
        <v>58</v>
      </c>
      <c r="K25" s="32" t="n">
        <v>200</v>
      </c>
      <c r="L25" s="32" t="s">
        <v>75</v>
      </c>
      <c r="M25" s="32" t="s">
        <v>75</v>
      </c>
      <c r="N25" s="32" t="s">
        <v>75</v>
      </c>
      <c r="O25" s="32" t="s">
        <v>48</v>
      </c>
      <c r="P25" s="3" t="s">
        <v>174</v>
      </c>
      <c r="Q25" s="32" t="s">
        <v>75</v>
      </c>
      <c r="R25" s="32" t="s">
        <v>47</v>
      </c>
      <c r="S25" s="32" t="s">
        <v>53</v>
      </c>
      <c r="T25" s="32" t="s">
        <v>53</v>
      </c>
      <c r="U25" s="32" t="s">
        <v>47</v>
      </c>
      <c r="V25" s="4" t="s">
        <v>405</v>
      </c>
      <c r="W25" s="28" t="n">
        <f aca="false">'Plepys data'!AA43</f>
        <v>25.9</v>
      </c>
      <c r="X25" s="2"/>
      <c r="Y25" s="2"/>
      <c r="Z25" s="2"/>
      <c r="AA25" s="2"/>
      <c r="AB25" s="2"/>
      <c r="AC25" s="2"/>
      <c r="AD25" s="2"/>
      <c r="AE25" s="2"/>
      <c r="AF25" s="2"/>
    </row>
    <row r="26" s="30" customFormat="true" ht="31.5" hidden="false" customHeight="false" outlineLevel="0" collapsed="false">
      <c r="A26" s="2"/>
      <c r="B26" s="35" t="s">
        <v>170</v>
      </c>
      <c r="C26" s="32" t="s">
        <v>171</v>
      </c>
      <c r="D26" s="3" t="n">
        <v>1996</v>
      </c>
      <c r="E26" s="20" t="s">
        <v>172</v>
      </c>
      <c r="F26" s="32" t="s">
        <v>51</v>
      </c>
      <c r="G26" s="32" t="s">
        <v>58</v>
      </c>
      <c r="H26" s="32" t="s">
        <v>47</v>
      </c>
      <c r="I26" s="32" t="s">
        <v>75</v>
      </c>
      <c r="J26" s="32" t="s">
        <v>58</v>
      </c>
      <c r="K26" s="32" t="n">
        <v>200</v>
      </c>
      <c r="L26" s="32" t="s">
        <v>75</v>
      </c>
      <c r="M26" s="32" t="s">
        <v>75</v>
      </c>
      <c r="N26" s="32" t="s">
        <v>75</v>
      </c>
      <c r="O26" s="32" t="s">
        <v>48</v>
      </c>
      <c r="P26" s="3" t="s">
        <v>174</v>
      </c>
      <c r="Q26" s="32" t="s">
        <v>75</v>
      </c>
      <c r="R26" s="32" t="s">
        <v>47</v>
      </c>
      <c r="S26" s="32" t="s">
        <v>53</v>
      </c>
      <c r="T26" s="32" t="s">
        <v>53</v>
      </c>
      <c r="U26" s="32" t="s">
        <v>47</v>
      </c>
      <c r="V26" s="4" t="s">
        <v>405</v>
      </c>
      <c r="W26" s="28" t="n">
        <f aca="false">'Plepys data'!AA44</f>
        <v>6.2</v>
      </c>
      <c r="X26" s="2"/>
      <c r="Y26" s="2"/>
      <c r="Z26" s="2"/>
      <c r="AA26" s="2"/>
      <c r="AB26" s="2"/>
      <c r="AC26" s="2"/>
      <c r="AD26" s="2"/>
      <c r="AE26" s="2"/>
      <c r="AF26" s="2"/>
    </row>
    <row r="27" s="30" customFormat="true" ht="31.5" hidden="false" customHeight="false" outlineLevel="0" collapsed="false">
      <c r="A27" s="2"/>
      <c r="B27" s="35" t="s">
        <v>170</v>
      </c>
      <c r="C27" s="32" t="s">
        <v>171</v>
      </c>
      <c r="D27" s="3" t="n">
        <v>1996</v>
      </c>
      <c r="E27" s="20" t="s">
        <v>172</v>
      </c>
      <c r="F27" s="32" t="s">
        <v>51</v>
      </c>
      <c r="G27" s="32" t="s">
        <v>58</v>
      </c>
      <c r="H27" s="32" t="s">
        <v>47</v>
      </c>
      <c r="I27" s="32" t="s">
        <v>75</v>
      </c>
      <c r="J27" s="32" t="s">
        <v>58</v>
      </c>
      <c r="K27" s="32" t="n">
        <v>200</v>
      </c>
      <c r="L27" s="32" t="s">
        <v>75</v>
      </c>
      <c r="M27" s="32" t="s">
        <v>75</v>
      </c>
      <c r="N27" s="32" t="s">
        <v>75</v>
      </c>
      <c r="O27" s="32" t="s">
        <v>48</v>
      </c>
      <c r="P27" s="3" t="s">
        <v>174</v>
      </c>
      <c r="Q27" s="32" t="s">
        <v>75</v>
      </c>
      <c r="R27" s="32" t="s">
        <v>47</v>
      </c>
      <c r="S27" s="32" t="s">
        <v>53</v>
      </c>
      <c r="T27" s="32" t="s">
        <v>53</v>
      </c>
      <c r="U27" s="3" t="s">
        <v>47</v>
      </c>
      <c r="V27" s="4" t="s">
        <v>405</v>
      </c>
      <c r="W27" s="28" t="n">
        <f aca="false">'Plepys data'!AA45</f>
        <v>27.9</v>
      </c>
      <c r="X27" s="2"/>
      <c r="Y27" s="2"/>
      <c r="Z27" s="2"/>
      <c r="AA27" s="2"/>
      <c r="AB27" s="2"/>
      <c r="AC27" s="2"/>
      <c r="AD27" s="2"/>
      <c r="AE27" s="2"/>
      <c r="AF27" s="2"/>
    </row>
    <row r="28" s="30" customFormat="true" ht="31.5" hidden="false" customHeight="false" outlineLevel="0" collapsed="false">
      <c r="A28" s="2"/>
      <c r="B28" s="35" t="s">
        <v>170</v>
      </c>
      <c r="C28" s="32" t="s">
        <v>171</v>
      </c>
      <c r="D28" s="3" t="n">
        <v>1996</v>
      </c>
      <c r="E28" s="20" t="s">
        <v>172</v>
      </c>
      <c r="F28" s="32" t="s">
        <v>51</v>
      </c>
      <c r="G28" s="32" t="s">
        <v>58</v>
      </c>
      <c r="H28" s="32" t="s">
        <v>47</v>
      </c>
      <c r="I28" s="32" t="s">
        <v>75</v>
      </c>
      <c r="J28" s="32" t="s">
        <v>58</v>
      </c>
      <c r="K28" s="32" t="n">
        <v>200</v>
      </c>
      <c r="L28" s="32" t="s">
        <v>75</v>
      </c>
      <c r="M28" s="32" t="s">
        <v>75</v>
      </c>
      <c r="N28" s="32" t="s">
        <v>75</v>
      </c>
      <c r="O28" s="32" t="s">
        <v>48</v>
      </c>
      <c r="P28" s="3" t="s">
        <v>174</v>
      </c>
      <c r="Q28" s="32" t="s">
        <v>75</v>
      </c>
      <c r="R28" s="32" t="s">
        <v>47</v>
      </c>
      <c r="S28" s="32" t="s">
        <v>53</v>
      </c>
      <c r="T28" s="32" t="s">
        <v>53</v>
      </c>
      <c r="U28" s="3" t="s">
        <v>47</v>
      </c>
      <c r="V28" s="4" t="s">
        <v>405</v>
      </c>
      <c r="W28" s="28" t="n">
        <f aca="false">'Plepys data'!AA46</f>
        <v>18.6</v>
      </c>
      <c r="X28" s="2"/>
      <c r="Y28" s="2"/>
      <c r="Z28" s="2"/>
      <c r="AA28" s="2"/>
      <c r="AB28" s="2"/>
      <c r="AC28" s="2"/>
      <c r="AD28" s="2"/>
      <c r="AE28" s="2"/>
      <c r="AF28" s="2"/>
    </row>
    <row r="29" s="30" customFormat="true" ht="31.5" hidden="false" customHeight="false" outlineLevel="0" collapsed="false">
      <c r="A29" s="2"/>
      <c r="B29" s="35" t="s">
        <v>170</v>
      </c>
      <c r="C29" s="32" t="s">
        <v>171</v>
      </c>
      <c r="D29" s="3" t="n">
        <v>1997</v>
      </c>
      <c r="E29" s="20" t="s">
        <v>172</v>
      </c>
      <c r="F29" s="32" t="s">
        <v>51</v>
      </c>
      <c r="G29" s="32" t="s">
        <v>58</v>
      </c>
      <c r="H29" s="32" t="s">
        <v>47</v>
      </c>
      <c r="I29" s="32" t="s">
        <v>75</v>
      </c>
      <c r="J29" s="32" t="s">
        <v>58</v>
      </c>
      <c r="K29" s="32" t="n">
        <v>200</v>
      </c>
      <c r="L29" s="32" t="s">
        <v>75</v>
      </c>
      <c r="M29" s="32" t="s">
        <v>75</v>
      </c>
      <c r="N29" s="32" t="s">
        <v>75</v>
      </c>
      <c r="O29" s="32" t="s">
        <v>48</v>
      </c>
      <c r="P29" s="3" t="s">
        <v>174</v>
      </c>
      <c r="Q29" s="32" t="s">
        <v>75</v>
      </c>
      <c r="R29" s="32" t="s">
        <v>47</v>
      </c>
      <c r="S29" s="32" t="s">
        <v>53</v>
      </c>
      <c r="T29" s="32" t="s">
        <v>53</v>
      </c>
      <c r="U29" s="3" t="s">
        <v>47</v>
      </c>
      <c r="V29" s="4" t="s">
        <v>405</v>
      </c>
      <c r="W29" s="28" t="n">
        <f aca="false">'Plepys data'!AA47</f>
        <v>5</v>
      </c>
      <c r="X29" s="2"/>
      <c r="Y29" s="2"/>
      <c r="Z29" s="2"/>
      <c r="AA29" s="2"/>
      <c r="AB29" s="2"/>
      <c r="AC29" s="2"/>
      <c r="AD29" s="2"/>
      <c r="AE29" s="2"/>
      <c r="AF29" s="2"/>
    </row>
    <row r="30" s="30" customFormat="true" ht="31.5" hidden="false" customHeight="false" outlineLevel="0" collapsed="false">
      <c r="A30" s="2"/>
      <c r="B30" s="35" t="s">
        <v>170</v>
      </c>
      <c r="C30" s="32" t="s">
        <v>171</v>
      </c>
      <c r="D30" s="3" t="n">
        <v>1997</v>
      </c>
      <c r="E30" s="20" t="s">
        <v>172</v>
      </c>
      <c r="F30" s="32" t="s">
        <v>51</v>
      </c>
      <c r="G30" s="32" t="s">
        <v>58</v>
      </c>
      <c r="H30" s="32" t="s">
        <v>47</v>
      </c>
      <c r="I30" s="32" t="s">
        <v>75</v>
      </c>
      <c r="J30" s="32" t="s">
        <v>58</v>
      </c>
      <c r="K30" s="32" t="n">
        <v>200</v>
      </c>
      <c r="L30" s="32" t="s">
        <v>75</v>
      </c>
      <c r="M30" s="32" t="s">
        <v>75</v>
      </c>
      <c r="N30" s="32" t="s">
        <v>75</v>
      </c>
      <c r="O30" s="32" t="s">
        <v>48</v>
      </c>
      <c r="P30" s="3" t="s">
        <v>174</v>
      </c>
      <c r="Q30" s="32" t="s">
        <v>75</v>
      </c>
      <c r="R30" s="32" t="s">
        <v>47</v>
      </c>
      <c r="S30" s="32" t="s">
        <v>53</v>
      </c>
      <c r="T30" s="32" t="s">
        <v>53</v>
      </c>
      <c r="U30" s="3" t="s">
        <v>47</v>
      </c>
      <c r="V30" s="4" t="s">
        <v>405</v>
      </c>
      <c r="W30" s="28" t="n">
        <f aca="false">'Plepys data'!AA48</f>
        <v>29</v>
      </c>
      <c r="X30" s="2"/>
      <c r="Y30" s="2"/>
      <c r="Z30" s="2"/>
      <c r="AA30" s="2"/>
      <c r="AB30" s="2"/>
      <c r="AC30" s="2"/>
      <c r="AD30" s="2"/>
      <c r="AE30" s="2"/>
      <c r="AF30" s="2"/>
    </row>
    <row r="31" s="30" customFormat="true" ht="31.5" hidden="false" customHeight="false" outlineLevel="0" collapsed="false">
      <c r="A31" s="2"/>
      <c r="B31" s="35" t="s">
        <v>170</v>
      </c>
      <c r="C31" s="32" t="s">
        <v>171</v>
      </c>
      <c r="D31" s="3" t="n">
        <v>1997</v>
      </c>
      <c r="E31" s="20" t="s">
        <v>172</v>
      </c>
      <c r="F31" s="32" t="s">
        <v>51</v>
      </c>
      <c r="G31" s="32" t="s">
        <v>58</v>
      </c>
      <c r="H31" s="32" t="s">
        <v>47</v>
      </c>
      <c r="I31" s="32" t="s">
        <v>75</v>
      </c>
      <c r="J31" s="32" t="s">
        <v>58</v>
      </c>
      <c r="K31" s="32" t="n">
        <v>200</v>
      </c>
      <c r="L31" s="32" t="s">
        <v>75</v>
      </c>
      <c r="M31" s="32" t="s">
        <v>75</v>
      </c>
      <c r="N31" s="32" t="s">
        <v>75</v>
      </c>
      <c r="O31" s="32" t="s">
        <v>48</v>
      </c>
      <c r="P31" s="3" t="s">
        <v>174</v>
      </c>
      <c r="Q31" s="32" t="s">
        <v>75</v>
      </c>
      <c r="R31" s="32" t="s">
        <v>47</v>
      </c>
      <c r="S31" s="32" t="s">
        <v>53</v>
      </c>
      <c r="T31" s="32" t="s">
        <v>53</v>
      </c>
      <c r="U31" s="3" t="s">
        <v>47</v>
      </c>
      <c r="V31" s="4" t="s">
        <v>405</v>
      </c>
      <c r="W31" s="28" t="n">
        <f aca="false">'Plepys data'!AA49</f>
        <v>12.9</v>
      </c>
      <c r="X31" s="2"/>
      <c r="Y31" s="2"/>
      <c r="Z31" s="2"/>
      <c r="AA31" s="2"/>
      <c r="AB31" s="2"/>
      <c r="AC31" s="2"/>
      <c r="AD31" s="2"/>
      <c r="AE31" s="2"/>
      <c r="AF31" s="2"/>
    </row>
    <row r="32" s="30" customFormat="true" ht="31.5" hidden="false" customHeight="false" outlineLevel="0" collapsed="false">
      <c r="A32" s="2"/>
      <c r="B32" s="35" t="s">
        <v>170</v>
      </c>
      <c r="C32" s="32" t="s">
        <v>171</v>
      </c>
      <c r="D32" s="3" t="n">
        <v>1997</v>
      </c>
      <c r="E32" s="20" t="s">
        <v>172</v>
      </c>
      <c r="F32" s="32" t="s">
        <v>51</v>
      </c>
      <c r="G32" s="32" t="s">
        <v>58</v>
      </c>
      <c r="H32" s="32" t="s">
        <v>47</v>
      </c>
      <c r="I32" s="32" t="s">
        <v>75</v>
      </c>
      <c r="J32" s="32" t="s">
        <v>58</v>
      </c>
      <c r="K32" s="32" t="n">
        <v>200</v>
      </c>
      <c r="L32" s="32" t="s">
        <v>75</v>
      </c>
      <c r="M32" s="32" t="s">
        <v>75</v>
      </c>
      <c r="N32" s="32" t="s">
        <v>75</v>
      </c>
      <c r="O32" s="32" t="s">
        <v>48</v>
      </c>
      <c r="P32" s="3" t="s">
        <v>174</v>
      </c>
      <c r="Q32" s="32" t="s">
        <v>75</v>
      </c>
      <c r="R32" s="32" t="s">
        <v>47</v>
      </c>
      <c r="S32" s="32" t="s">
        <v>53</v>
      </c>
      <c r="T32" s="32" t="s">
        <v>53</v>
      </c>
      <c r="U32" s="3" t="s">
        <v>47</v>
      </c>
      <c r="V32" s="4" t="s">
        <v>405</v>
      </c>
      <c r="W32" s="28" t="n">
        <f aca="false">'Plepys data'!AA50</f>
        <v>17.6</v>
      </c>
      <c r="X32" s="2"/>
      <c r="Y32" s="2"/>
      <c r="Z32" s="2"/>
      <c r="AA32" s="2"/>
      <c r="AB32" s="2"/>
      <c r="AC32" s="2"/>
      <c r="AD32" s="2"/>
      <c r="AE32" s="2"/>
      <c r="AF32" s="2"/>
    </row>
    <row r="33" s="30" customFormat="true" ht="31.5" hidden="false" customHeight="false" outlineLevel="0" collapsed="false">
      <c r="A33" s="2"/>
      <c r="B33" s="35" t="s">
        <v>170</v>
      </c>
      <c r="C33" s="32" t="s">
        <v>171</v>
      </c>
      <c r="D33" s="3" t="n">
        <v>1997</v>
      </c>
      <c r="E33" s="20" t="s">
        <v>172</v>
      </c>
      <c r="F33" s="32" t="s">
        <v>51</v>
      </c>
      <c r="G33" s="32" t="s">
        <v>58</v>
      </c>
      <c r="H33" s="32" t="s">
        <v>47</v>
      </c>
      <c r="I33" s="32" t="s">
        <v>75</v>
      </c>
      <c r="J33" s="32" t="s">
        <v>58</v>
      </c>
      <c r="K33" s="32" t="n">
        <v>200</v>
      </c>
      <c r="L33" s="32" t="s">
        <v>75</v>
      </c>
      <c r="M33" s="32" t="s">
        <v>75</v>
      </c>
      <c r="N33" s="32" t="s">
        <v>75</v>
      </c>
      <c r="O33" s="32" t="s">
        <v>48</v>
      </c>
      <c r="P33" s="3" t="s">
        <v>174</v>
      </c>
      <c r="Q33" s="32" t="s">
        <v>75</v>
      </c>
      <c r="R33" s="32" t="s">
        <v>47</v>
      </c>
      <c r="S33" s="32" t="s">
        <v>53</v>
      </c>
      <c r="T33" s="32" t="s">
        <v>53</v>
      </c>
      <c r="U33" s="3" t="s">
        <v>47</v>
      </c>
      <c r="V33" s="4" t="s">
        <v>405</v>
      </c>
      <c r="W33" s="28" t="n">
        <f aca="false">'Plepys data'!AA51</f>
        <v>17</v>
      </c>
      <c r="X33" s="2"/>
      <c r="Y33" s="2"/>
      <c r="Z33" s="2"/>
      <c r="AA33" s="2"/>
      <c r="AB33" s="2"/>
      <c r="AC33" s="2"/>
      <c r="AD33" s="2"/>
      <c r="AE33" s="2"/>
      <c r="AF33" s="2"/>
    </row>
    <row r="34" s="30" customFormat="true" ht="31.5" hidden="false" customHeight="false" outlineLevel="0" collapsed="false">
      <c r="A34" s="2"/>
      <c r="B34" s="35" t="s">
        <v>170</v>
      </c>
      <c r="C34" s="32" t="s">
        <v>171</v>
      </c>
      <c r="D34" s="3" t="n">
        <v>1997</v>
      </c>
      <c r="E34" s="20" t="s">
        <v>172</v>
      </c>
      <c r="F34" s="32" t="s">
        <v>51</v>
      </c>
      <c r="G34" s="32" t="s">
        <v>58</v>
      </c>
      <c r="H34" s="32" t="s">
        <v>47</v>
      </c>
      <c r="I34" s="32" t="s">
        <v>75</v>
      </c>
      <c r="J34" s="32" t="s">
        <v>58</v>
      </c>
      <c r="K34" s="32" t="n">
        <v>200</v>
      </c>
      <c r="L34" s="32" t="s">
        <v>75</v>
      </c>
      <c r="M34" s="32" t="s">
        <v>75</v>
      </c>
      <c r="N34" s="32" t="s">
        <v>75</v>
      </c>
      <c r="O34" s="32" t="s">
        <v>48</v>
      </c>
      <c r="P34" s="3" t="s">
        <v>174</v>
      </c>
      <c r="Q34" s="32" t="s">
        <v>75</v>
      </c>
      <c r="R34" s="32" t="s">
        <v>47</v>
      </c>
      <c r="S34" s="32" t="s">
        <v>53</v>
      </c>
      <c r="T34" s="32" t="s">
        <v>53</v>
      </c>
      <c r="U34" s="3" t="s">
        <v>47</v>
      </c>
      <c r="V34" s="4" t="s">
        <v>405</v>
      </c>
      <c r="W34" s="28" t="n">
        <f aca="false">'Plepys data'!AA52</f>
        <v>18</v>
      </c>
      <c r="X34" s="2"/>
      <c r="Y34" s="2"/>
      <c r="Z34" s="2"/>
      <c r="AA34" s="2"/>
      <c r="AB34" s="2"/>
      <c r="AC34" s="2"/>
      <c r="AD34" s="2"/>
      <c r="AE34" s="2"/>
      <c r="AF34" s="2"/>
    </row>
    <row r="35" s="30" customFormat="true" ht="31.5" hidden="false" customHeight="false" outlineLevel="0" collapsed="false">
      <c r="A35" s="2"/>
      <c r="B35" s="35" t="s">
        <v>170</v>
      </c>
      <c r="C35" s="32" t="s">
        <v>171</v>
      </c>
      <c r="D35" s="3" t="n">
        <v>1998</v>
      </c>
      <c r="E35" s="20" t="s">
        <v>172</v>
      </c>
      <c r="F35" s="32" t="s">
        <v>51</v>
      </c>
      <c r="G35" s="32" t="s">
        <v>58</v>
      </c>
      <c r="H35" s="32" t="s">
        <v>47</v>
      </c>
      <c r="I35" s="32" t="s">
        <v>75</v>
      </c>
      <c r="J35" s="32" t="s">
        <v>58</v>
      </c>
      <c r="K35" s="32" t="n">
        <v>200</v>
      </c>
      <c r="L35" s="32" t="s">
        <v>75</v>
      </c>
      <c r="M35" s="32" t="s">
        <v>75</v>
      </c>
      <c r="N35" s="32" t="s">
        <v>75</v>
      </c>
      <c r="O35" s="32" t="s">
        <v>65</v>
      </c>
      <c r="P35" s="3" t="s">
        <v>174</v>
      </c>
      <c r="Q35" s="32" t="s">
        <v>75</v>
      </c>
      <c r="R35" s="32" t="s">
        <v>47</v>
      </c>
      <c r="S35" s="32" t="s">
        <v>53</v>
      </c>
      <c r="T35" s="32" t="s">
        <v>53</v>
      </c>
      <c r="U35" s="3" t="s">
        <v>47</v>
      </c>
      <c r="V35" s="4" t="s">
        <v>405</v>
      </c>
      <c r="W35" s="28" t="n">
        <f aca="false">'Plepys data'!AA53</f>
        <v>19.9</v>
      </c>
      <c r="X35" s="2"/>
      <c r="Y35" s="2"/>
      <c r="Z35" s="2"/>
      <c r="AA35" s="2"/>
      <c r="AB35" s="2"/>
      <c r="AC35" s="2"/>
      <c r="AD35" s="2"/>
      <c r="AE35" s="2"/>
      <c r="AF35" s="2"/>
    </row>
    <row r="36" s="30" customFormat="true" ht="31.5" hidden="false" customHeight="false" outlineLevel="0" collapsed="false">
      <c r="A36" s="2"/>
      <c r="B36" s="35" t="s">
        <v>170</v>
      </c>
      <c r="C36" s="32" t="s">
        <v>171</v>
      </c>
      <c r="D36" s="3" t="n">
        <v>1998</v>
      </c>
      <c r="E36" s="20" t="s">
        <v>172</v>
      </c>
      <c r="F36" s="32" t="s">
        <v>51</v>
      </c>
      <c r="G36" s="32" t="s">
        <v>58</v>
      </c>
      <c r="H36" s="32" t="s">
        <v>47</v>
      </c>
      <c r="I36" s="32" t="s">
        <v>75</v>
      </c>
      <c r="J36" s="32" t="s">
        <v>58</v>
      </c>
      <c r="K36" s="32" t="n">
        <v>150</v>
      </c>
      <c r="L36" s="32" t="s">
        <v>75</v>
      </c>
      <c r="M36" s="32" t="s">
        <v>75</v>
      </c>
      <c r="N36" s="32" t="s">
        <v>75</v>
      </c>
      <c r="O36" s="32" t="s">
        <v>48</v>
      </c>
      <c r="P36" s="3" t="s">
        <v>174</v>
      </c>
      <c r="Q36" s="32" t="s">
        <v>75</v>
      </c>
      <c r="R36" s="32" t="s">
        <v>47</v>
      </c>
      <c r="S36" s="32" t="s">
        <v>53</v>
      </c>
      <c r="T36" s="32" t="s">
        <v>53</v>
      </c>
      <c r="U36" s="3" t="s">
        <v>47</v>
      </c>
      <c r="V36" s="4" t="s">
        <v>405</v>
      </c>
      <c r="W36" s="28" t="n">
        <f aca="false">'Plepys data'!AA54</f>
        <v>5.9</v>
      </c>
      <c r="X36" s="2"/>
      <c r="Y36" s="2"/>
      <c r="Z36" s="2"/>
      <c r="AA36" s="2"/>
      <c r="AB36" s="2"/>
      <c r="AC36" s="2"/>
      <c r="AD36" s="2"/>
      <c r="AE36" s="2"/>
      <c r="AF36" s="2"/>
    </row>
    <row r="37" s="30" customFormat="true" ht="31.5" hidden="false" customHeight="false" outlineLevel="0" collapsed="false">
      <c r="A37" s="2"/>
      <c r="B37" s="35" t="s">
        <v>170</v>
      </c>
      <c r="C37" s="32" t="s">
        <v>171</v>
      </c>
      <c r="D37" s="3" t="n">
        <v>1998</v>
      </c>
      <c r="E37" s="20" t="s">
        <v>172</v>
      </c>
      <c r="F37" s="32" t="s">
        <v>51</v>
      </c>
      <c r="G37" s="32" t="s">
        <v>58</v>
      </c>
      <c r="H37" s="32" t="s">
        <v>47</v>
      </c>
      <c r="I37" s="32" t="s">
        <v>75</v>
      </c>
      <c r="J37" s="32" t="s">
        <v>58</v>
      </c>
      <c r="K37" s="32" t="n">
        <v>150</v>
      </c>
      <c r="L37" s="32" t="s">
        <v>75</v>
      </c>
      <c r="M37" s="32" t="s">
        <v>75</v>
      </c>
      <c r="N37" s="32" t="s">
        <v>75</v>
      </c>
      <c r="O37" s="32" t="s">
        <v>48</v>
      </c>
      <c r="P37" s="3" t="s">
        <v>174</v>
      </c>
      <c r="Q37" s="32" t="s">
        <v>75</v>
      </c>
      <c r="R37" s="32" t="s">
        <v>47</v>
      </c>
      <c r="S37" s="32" t="s">
        <v>53</v>
      </c>
      <c r="T37" s="32" t="s">
        <v>53</v>
      </c>
      <c r="U37" s="3" t="s">
        <v>47</v>
      </c>
      <c r="V37" s="4" t="s">
        <v>405</v>
      </c>
      <c r="W37" s="28" t="n">
        <f aca="false">'Plepys data'!AA55</f>
        <v>14.7</v>
      </c>
      <c r="X37" s="2"/>
      <c r="Y37" s="2"/>
      <c r="Z37" s="2"/>
      <c r="AA37" s="2"/>
      <c r="AB37" s="2"/>
      <c r="AC37" s="2"/>
      <c r="AD37" s="2"/>
      <c r="AE37" s="2"/>
      <c r="AF37" s="2"/>
    </row>
    <row r="38" s="30" customFormat="true" ht="31.5" hidden="false" customHeight="false" outlineLevel="0" collapsed="false">
      <c r="A38" s="2"/>
      <c r="B38" s="35" t="s">
        <v>170</v>
      </c>
      <c r="C38" s="32" t="s">
        <v>171</v>
      </c>
      <c r="D38" s="3" t="n">
        <v>1998</v>
      </c>
      <c r="E38" s="20" t="s">
        <v>172</v>
      </c>
      <c r="F38" s="32" t="s">
        <v>51</v>
      </c>
      <c r="G38" s="32" t="s">
        <v>58</v>
      </c>
      <c r="H38" s="32" t="s">
        <v>47</v>
      </c>
      <c r="I38" s="32" t="s">
        <v>75</v>
      </c>
      <c r="J38" s="32" t="s">
        <v>58</v>
      </c>
      <c r="K38" s="32" t="n">
        <v>150</v>
      </c>
      <c r="L38" s="32" t="s">
        <v>75</v>
      </c>
      <c r="M38" s="32" t="s">
        <v>75</v>
      </c>
      <c r="N38" s="32" t="s">
        <v>75</v>
      </c>
      <c r="O38" s="32" t="s">
        <v>48</v>
      </c>
      <c r="P38" s="3" t="s">
        <v>174</v>
      </c>
      <c r="Q38" s="32" t="s">
        <v>75</v>
      </c>
      <c r="R38" s="32" t="s">
        <v>47</v>
      </c>
      <c r="S38" s="32" t="s">
        <v>53</v>
      </c>
      <c r="T38" s="32" t="s">
        <v>53</v>
      </c>
      <c r="U38" s="3" t="s">
        <v>47</v>
      </c>
      <c r="V38" s="4" t="s">
        <v>405</v>
      </c>
      <c r="W38" s="28" t="n">
        <f aca="false">'Plepys data'!AA56</f>
        <v>20.5</v>
      </c>
      <c r="X38" s="2"/>
      <c r="Y38" s="2"/>
      <c r="Z38" s="2"/>
      <c r="AA38" s="2"/>
      <c r="AB38" s="2"/>
      <c r="AC38" s="2"/>
      <c r="AD38" s="2"/>
      <c r="AE38" s="2"/>
      <c r="AF38" s="2"/>
    </row>
    <row r="39" s="30" customFormat="true" ht="31.5" hidden="false" customHeight="false" outlineLevel="0" collapsed="false">
      <c r="A39" s="2"/>
      <c r="B39" s="35" t="s">
        <v>170</v>
      </c>
      <c r="C39" s="32" t="s">
        <v>171</v>
      </c>
      <c r="D39" s="3" t="n">
        <v>1998</v>
      </c>
      <c r="E39" s="20" t="s">
        <v>172</v>
      </c>
      <c r="F39" s="32" t="s">
        <v>51</v>
      </c>
      <c r="G39" s="32" t="s">
        <v>58</v>
      </c>
      <c r="H39" s="32" t="s">
        <v>47</v>
      </c>
      <c r="I39" s="32" t="s">
        <v>75</v>
      </c>
      <c r="J39" s="32" t="s">
        <v>58</v>
      </c>
      <c r="K39" s="32" t="n">
        <v>150</v>
      </c>
      <c r="L39" s="32" t="s">
        <v>75</v>
      </c>
      <c r="M39" s="32" t="s">
        <v>75</v>
      </c>
      <c r="N39" s="32" t="s">
        <v>75</v>
      </c>
      <c r="O39" s="32" t="s">
        <v>48</v>
      </c>
      <c r="P39" s="3" t="s">
        <v>174</v>
      </c>
      <c r="Q39" s="32" t="s">
        <v>75</v>
      </c>
      <c r="R39" s="32" t="s">
        <v>47</v>
      </c>
      <c r="S39" s="32" t="s">
        <v>53</v>
      </c>
      <c r="T39" s="32" t="s">
        <v>53</v>
      </c>
      <c r="U39" s="3" t="s">
        <v>47</v>
      </c>
      <c r="V39" s="4" t="s">
        <v>405</v>
      </c>
      <c r="W39" s="28" t="n">
        <f aca="false">'Plepys data'!AA57</f>
        <v>5.9</v>
      </c>
      <c r="X39" s="2"/>
      <c r="Y39" s="2"/>
      <c r="Z39" s="2"/>
      <c r="AA39" s="2"/>
      <c r="AB39" s="2"/>
      <c r="AC39" s="2"/>
      <c r="AD39" s="2"/>
      <c r="AE39" s="2"/>
      <c r="AF39" s="2"/>
    </row>
    <row r="40" s="30" customFormat="true" ht="31.5" hidden="false" customHeight="false" outlineLevel="0" collapsed="false">
      <c r="A40" s="2"/>
      <c r="B40" s="35" t="s">
        <v>170</v>
      </c>
      <c r="C40" s="32" t="s">
        <v>171</v>
      </c>
      <c r="D40" s="3" t="n">
        <v>1998</v>
      </c>
      <c r="E40" s="20" t="s">
        <v>172</v>
      </c>
      <c r="F40" s="32" t="s">
        <v>51</v>
      </c>
      <c r="G40" s="32" t="s">
        <v>58</v>
      </c>
      <c r="H40" s="32" t="s">
        <v>47</v>
      </c>
      <c r="I40" s="32" t="s">
        <v>75</v>
      </c>
      <c r="J40" s="32" t="s">
        <v>58</v>
      </c>
      <c r="K40" s="32" t="n">
        <v>150</v>
      </c>
      <c r="L40" s="32" t="s">
        <v>75</v>
      </c>
      <c r="M40" s="32" t="s">
        <v>75</v>
      </c>
      <c r="N40" s="32" t="s">
        <v>75</v>
      </c>
      <c r="O40" s="32" t="s">
        <v>48</v>
      </c>
      <c r="P40" s="3" t="s">
        <v>174</v>
      </c>
      <c r="Q40" s="32" t="s">
        <v>75</v>
      </c>
      <c r="R40" s="32" t="s">
        <v>47</v>
      </c>
      <c r="S40" s="32" t="s">
        <v>53</v>
      </c>
      <c r="T40" s="32" t="s">
        <v>53</v>
      </c>
      <c r="U40" s="3" t="s">
        <v>47</v>
      </c>
      <c r="V40" s="4" t="s">
        <v>405</v>
      </c>
      <c r="W40" s="28" t="n">
        <f aca="false">'Plepys data'!AA58</f>
        <v>8.8</v>
      </c>
      <c r="X40" s="2"/>
      <c r="Y40" s="2"/>
      <c r="Z40" s="2"/>
      <c r="AA40" s="2"/>
      <c r="AB40" s="2"/>
      <c r="AC40" s="2"/>
      <c r="AD40" s="2"/>
      <c r="AE40" s="2"/>
      <c r="AF40" s="2"/>
    </row>
    <row r="41" s="30" customFormat="true" ht="31.5" hidden="false" customHeight="false" outlineLevel="0" collapsed="false">
      <c r="A41" s="2"/>
      <c r="B41" s="35" t="s">
        <v>170</v>
      </c>
      <c r="C41" s="32" t="s">
        <v>171</v>
      </c>
      <c r="D41" s="3" t="n">
        <v>1998</v>
      </c>
      <c r="E41" s="20" t="s">
        <v>172</v>
      </c>
      <c r="F41" s="32" t="s">
        <v>51</v>
      </c>
      <c r="G41" s="32" t="s">
        <v>58</v>
      </c>
      <c r="H41" s="32" t="s">
        <v>47</v>
      </c>
      <c r="I41" s="32" t="s">
        <v>75</v>
      </c>
      <c r="J41" s="32" t="s">
        <v>58</v>
      </c>
      <c r="K41" s="32" t="n">
        <v>150</v>
      </c>
      <c r="L41" s="32" t="s">
        <v>75</v>
      </c>
      <c r="M41" s="32" t="s">
        <v>75</v>
      </c>
      <c r="N41" s="32" t="s">
        <v>75</v>
      </c>
      <c r="O41" s="32" t="s">
        <v>48</v>
      </c>
      <c r="P41" s="3" t="s">
        <v>174</v>
      </c>
      <c r="Q41" s="32" t="s">
        <v>75</v>
      </c>
      <c r="R41" s="32" t="s">
        <v>47</v>
      </c>
      <c r="S41" s="32" t="s">
        <v>53</v>
      </c>
      <c r="T41" s="32" t="s">
        <v>53</v>
      </c>
      <c r="U41" s="3" t="s">
        <v>47</v>
      </c>
      <c r="V41" s="4" t="s">
        <v>405</v>
      </c>
      <c r="W41" s="28" t="n">
        <f aca="false">'Plepys data'!AA59</f>
        <v>12.9</v>
      </c>
      <c r="X41" s="2"/>
      <c r="Y41" s="2"/>
      <c r="Z41" s="2"/>
      <c r="AA41" s="2"/>
      <c r="AB41" s="2"/>
      <c r="AC41" s="2"/>
      <c r="AD41" s="2"/>
      <c r="AE41" s="2"/>
      <c r="AF41" s="2"/>
    </row>
    <row r="42" s="30" customFormat="true" ht="31.5" hidden="false" customHeight="false" outlineLevel="0" collapsed="false">
      <c r="A42" s="2"/>
      <c r="B42" s="35" t="s">
        <v>170</v>
      </c>
      <c r="C42" s="32" t="s">
        <v>171</v>
      </c>
      <c r="D42" s="3" t="n">
        <v>1998</v>
      </c>
      <c r="E42" s="20" t="s">
        <v>172</v>
      </c>
      <c r="F42" s="32" t="s">
        <v>51</v>
      </c>
      <c r="G42" s="32" t="s">
        <v>58</v>
      </c>
      <c r="H42" s="32" t="s">
        <v>47</v>
      </c>
      <c r="I42" s="32" t="s">
        <v>75</v>
      </c>
      <c r="J42" s="32" t="s">
        <v>58</v>
      </c>
      <c r="K42" s="32" t="n">
        <v>200</v>
      </c>
      <c r="L42" s="32" t="s">
        <v>75</v>
      </c>
      <c r="M42" s="32" t="s">
        <v>75</v>
      </c>
      <c r="N42" s="32" t="s">
        <v>75</v>
      </c>
      <c r="O42" s="32" t="s">
        <v>48</v>
      </c>
      <c r="P42" s="3" t="s">
        <v>174</v>
      </c>
      <c r="Q42" s="32" t="s">
        <v>75</v>
      </c>
      <c r="R42" s="32" t="s">
        <v>47</v>
      </c>
      <c r="S42" s="32" t="s">
        <v>53</v>
      </c>
      <c r="T42" s="32" t="s">
        <v>53</v>
      </c>
      <c r="U42" s="3" t="s">
        <v>47</v>
      </c>
      <c r="V42" s="4" t="s">
        <v>405</v>
      </c>
      <c r="W42" s="28" t="n">
        <f aca="false">'Plepys data'!AA60</f>
        <v>20.5</v>
      </c>
      <c r="X42" s="2"/>
      <c r="Y42" s="2"/>
      <c r="Z42" s="2"/>
      <c r="AA42" s="2"/>
      <c r="AB42" s="2"/>
      <c r="AC42" s="2"/>
      <c r="AD42" s="2"/>
      <c r="AE42" s="2"/>
      <c r="AF42" s="2"/>
    </row>
    <row r="43" s="30" customFormat="true" ht="31.5" hidden="false" customHeight="false" outlineLevel="0" collapsed="false">
      <c r="A43" s="2"/>
      <c r="B43" s="35" t="s">
        <v>170</v>
      </c>
      <c r="C43" s="32" t="s">
        <v>171</v>
      </c>
      <c r="D43" s="3" t="n">
        <v>1998</v>
      </c>
      <c r="E43" s="20" t="s">
        <v>172</v>
      </c>
      <c r="F43" s="32" t="s">
        <v>51</v>
      </c>
      <c r="G43" s="32" t="s">
        <v>58</v>
      </c>
      <c r="H43" s="32" t="s">
        <v>47</v>
      </c>
      <c r="I43" s="32" t="s">
        <v>75</v>
      </c>
      <c r="J43" s="32" t="s">
        <v>58</v>
      </c>
      <c r="K43" s="32" t="n">
        <v>200</v>
      </c>
      <c r="L43" s="32" t="s">
        <v>75</v>
      </c>
      <c r="M43" s="32" t="s">
        <v>75</v>
      </c>
      <c r="N43" s="32" t="s">
        <v>75</v>
      </c>
      <c r="O43" s="32" t="s">
        <v>48</v>
      </c>
      <c r="P43" s="3" t="s">
        <v>174</v>
      </c>
      <c r="Q43" s="32" t="s">
        <v>75</v>
      </c>
      <c r="R43" s="32" t="s">
        <v>47</v>
      </c>
      <c r="S43" s="32" t="s">
        <v>53</v>
      </c>
      <c r="T43" s="32" t="s">
        <v>53</v>
      </c>
      <c r="U43" s="3" t="s">
        <v>47</v>
      </c>
      <c r="V43" s="4" t="s">
        <v>405</v>
      </c>
      <c r="W43" s="28" t="n">
        <f aca="false">'Plepys data'!AA61</f>
        <v>21.1</v>
      </c>
      <c r="X43" s="2"/>
      <c r="Y43" s="2"/>
      <c r="Z43" s="2"/>
      <c r="AA43" s="2"/>
      <c r="AB43" s="2"/>
      <c r="AC43" s="2"/>
      <c r="AD43" s="2"/>
      <c r="AE43" s="2"/>
      <c r="AF43" s="2"/>
    </row>
    <row r="44" s="30" customFormat="true" ht="31.5" hidden="false" customHeight="false" outlineLevel="0" collapsed="false">
      <c r="A44" s="2"/>
      <c r="B44" s="35" t="s">
        <v>170</v>
      </c>
      <c r="C44" s="32" t="s">
        <v>171</v>
      </c>
      <c r="D44" s="3" t="n">
        <v>1998</v>
      </c>
      <c r="E44" s="20" t="s">
        <v>172</v>
      </c>
      <c r="F44" s="32" t="s">
        <v>51</v>
      </c>
      <c r="G44" s="32" t="s">
        <v>58</v>
      </c>
      <c r="H44" s="32" t="s">
        <v>47</v>
      </c>
      <c r="I44" s="32" t="s">
        <v>75</v>
      </c>
      <c r="J44" s="32" t="s">
        <v>58</v>
      </c>
      <c r="K44" s="32" t="n">
        <v>100</v>
      </c>
      <c r="L44" s="32" t="s">
        <v>75</v>
      </c>
      <c r="M44" s="32" t="s">
        <v>75</v>
      </c>
      <c r="N44" s="32" t="s">
        <v>75</v>
      </c>
      <c r="O44" s="32" t="s">
        <v>48</v>
      </c>
      <c r="P44" s="3" t="s">
        <v>174</v>
      </c>
      <c r="Q44" s="32" t="s">
        <v>75</v>
      </c>
      <c r="R44" s="32" t="s">
        <v>47</v>
      </c>
      <c r="S44" s="32" t="s">
        <v>53</v>
      </c>
      <c r="T44" s="32" t="s">
        <v>53</v>
      </c>
      <c r="U44" s="3" t="s">
        <v>47</v>
      </c>
      <c r="V44" s="4" t="s">
        <v>405</v>
      </c>
      <c r="W44" s="28" t="n">
        <f aca="false">'Plepys data'!AA62</f>
        <v>29.3</v>
      </c>
      <c r="X44" s="2"/>
      <c r="Y44" s="2"/>
      <c r="Z44" s="2"/>
      <c r="AA44" s="2"/>
      <c r="AB44" s="2"/>
      <c r="AC44" s="2"/>
      <c r="AD44" s="2"/>
      <c r="AE44" s="2"/>
      <c r="AF44" s="2"/>
    </row>
    <row r="45" s="30" customFormat="true" ht="31.5" hidden="false" customHeight="false" outlineLevel="0" collapsed="false">
      <c r="A45" s="2"/>
      <c r="B45" s="35" t="s">
        <v>170</v>
      </c>
      <c r="C45" s="32" t="s">
        <v>171</v>
      </c>
      <c r="D45" s="3" t="n">
        <v>1998</v>
      </c>
      <c r="E45" s="20" t="s">
        <v>172</v>
      </c>
      <c r="F45" s="32" t="s">
        <v>51</v>
      </c>
      <c r="G45" s="32" t="s">
        <v>58</v>
      </c>
      <c r="H45" s="32" t="s">
        <v>47</v>
      </c>
      <c r="I45" s="32" t="s">
        <v>75</v>
      </c>
      <c r="J45" s="32" t="s">
        <v>58</v>
      </c>
      <c r="K45" s="32" t="n">
        <v>300</v>
      </c>
      <c r="L45" s="32" t="s">
        <v>75</v>
      </c>
      <c r="M45" s="32" t="s">
        <v>75</v>
      </c>
      <c r="N45" s="32" t="s">
        <v>75</v>
      </c>
      <c r="O45" s="32" t="s">
        <v>48</v>
      </c>
      <c r="P45" s="3" t="s">
        <v>174</v>
      </c>
      <c r="Q45" s="32" t="s">
        <v>75</v>
      </c>
      <c r="R45" s="32" t="s">
        <v>47</v>
      </c>
      <c r="S45" s="32" t="s">
        <v>53</v>
      </c>
      <c r="T45" s="32" t="s">
        <v>53</v>
      </c>
      <c r="U45" s="3" t="s">
        <v>47</v>
      </c>
      <c r="V45" s="4" t="s">
        <v>405</v>
      </c>
      <c r="W45" s="28" t="n">
        <f aca="false">'Plepys data'!AA63</f>
        <v>11.7</v>
      </c>
      <c r="X45" s="2"/>
      <c r="Y45" s="2"/>
      <c r="Z45" s="2"/>
      <c r="AA45" s="2"/>
      <c r="AB45" s="2"/>
      <c r="AC45" s="2"/>
      <c r="AD45" s="2"/>
      <c r="AE45" s="2"/>
      <c r="AF45" s="2"/>
    </row>
    <row r="46" s="30" customFormat="true" ht="31.5" hidden="false" customHeight="false" outlineLevel="0" collapsed="false">
      <c r="A46" s="2"/>
      <c r="B46" s="35" t="s">
        <v>170</v>
      </c>
      <c r="C46" s="32" t="s">
        <v>171</v>
      </c>
      <c r="D46" s="3" t="n">
        <v>1998</v>
      </c>
      <c r="E46" s="20" t="s">
        <v>172</v>
      </c>
      <c r="F46" s="32" t="s">
        <v>51</v>
      </c>
      <c r="G46" s="32" t="s">
        <v>58</v>
      </c>
      <c r="H46" s="32" t="s">
        <v>47</v>
      </c>
      <c r="I46" s="32" t="s">
        <v>75</v>
      </c>
      <c r="J46" s="32" t="s">
        <v>58</v>
      </c>
      <c r="K46" s="32" t="n">
        <v>300</v>
      </c>
      <c r="L46" s="32" t="s">
        <v>75</v>
      </c>
      <c r="M46" s="32" t="s">
        <v>75</v>
      </c>
      <c r="N46" s="32" t="s">
        <v>75</v>
      </c>
      <c r="O46" s="32" t="s">
        <v>48</v>
      </c>
      <c r="P46" s="3" t="s">
        <v>174</v>
      </c>
      <c r="Q46" s="32" t="s">
        <v>75</v>
      </c>
      <c r="R46" s="32" t="s">
        <v>47</v>
      </c>
      <c r="S46" s="32" t="s">
        <v>53</v>
      </c>
      <c r="T46" s="32" t="s">
        <v>53</v>
      </c>
      <c r="U46" s="3" t="s">
        <v>47</v>
      </c>
      <c r="V46" s="4" t="s">
        <v>405</v>
      </c>
      <c r="W46" s="28" t="n">
        <f aca="false">'Plepys data'!AA64</f>
        <v>12.3</v>
      </c>
      <c r="X46" s="2"/>
      <c r="Y46" s="2"/>
      <c r="Z46" s="2"/>
      <c r="AA46" s="2"/>
      <c r="AB46" s="2"/>
      <c r="AC46" s="2"/>
      <c r="AD46" s="2"/>
      <c r="AE46" s="2"/>
      <c r="AF46" s="2"/>
    </row>
    <row r="47" s="30" customFormat="true" ht="31.5" hidden="false" customHeight="false" outlineLevel="0" collapsed="false">
      <c r="A47" s="2"/>
      <c r="B47" s="35" t="s">
        <v>170</v>
      </c>
      <c r="C47" s="32" t="s">
        <v>171</v>
      </c>
      <c r="D47" s="3" t="n">
        <v>1998</v>
      </c>
      <c r="E47" s="20" t="s">
        <v>172</v>
      </c>
      <c r="F47" s="32" t="s">
        <v>51</v>
      </c>
      <c r="G47" s="32" t="s">
        <v>58</v>
      </c>
      <c r="H47" s="32" t="s">
        <v>47</v>
      </c>
      <c r="I47" s="32" t="s">
        <v>75</v>
      </c>
      <c r="J47" s="32" t="s">
        <v>58</v>
      </c>
      <c r="K47" s="32" t="n">
        <v>300</v>
      </c>
      <c r="L47" s="32" t="s">
        <v>75</v>
      </c>
      <c r="M47" s="32" t="s">
        <v>75</v>
      </c>
      <c r="N47" s="32" t="s">
        <v>75</v>
      </c>
      <c r="O47" s="32" t="s">
        <v>48</v>
      </c>
      <c r="P47" s="3" t="s">
        <v>174</v>
      </c>
      <c r="Q47" s="32" t="s">
        <v>75</v>
      </c>
      <c r="R47" s="32" t="s">
        <v>47</v>
      </c>
      <c r="S47" s="32" t="s">
        <v>53</v>
      </c>
      <c r="T47" s="32" t="s">
        <v>53</v>
      </c>
      <c r="U47" s="3" t="s">
        <v>47</v>
      </c>
      <c r="V47" s="4" t="s">
        <v>405</v>
      </c>
      <c r="W47" s="28" t="n">
        <f aca="false">'Plepys data'!AA65</f>
        <v>13.5</v>
      </c>
      <c r="X47" s="2"/>
      <c r="Y47" s="2"/>
      <c r="Z47" s="2"/>
      <c r="AA47" s="2"/>
      <c r="AB47" s="2"/>
      <c r="AC47" s="2"/>
      <c r="AD47" s="2"/>
      <c r="AE47" s="2"/>
      <c r="AF47" s="2"/>
    </row>
    <row r="48" s="30" customFormat="true" ht="31.5" hidden="false" customHeight="false" outlineLevel="0" collapsed="false">
      <c r="A48" s="2"/>
      <c r="B48" s="35" t="s">
        <v>170</v>
      </c>
      <c r="C48" s="32" t="s">
        <v>171</v>
      </c>
      <c r="D48" s="3" t="n">
        <v>1998</v>
      </c>
      <c r="E48" s="20" t="s">
        <v>172</v>
      </c>
      <c r="F48" s="32" t="s">
        <v>51</v>
      </c>
      <c r="G48" s="32" t="s">
        <v>58</v>
      </c>
      <c r="H48" s="32" t="s">
        <v>47</v>
      </c>
      <c r="I48" s="32" t="s">
        <v>75</v>
      </c>
      <c r="J48" s="32" t="s">
        <v>58</v>
      </c>
      <c r="K48" s="32" t="n">
        <v>300</v>
      </c>
      <c r="L48" s="32" t="s">
        <v>75</v>
      </c>
      <c r="M48" s="32" t="s">
        <v>75</v>
      </c>
      <c r="N48" s="32" t="s">
        <v>75</v>
      </c>
      <c r="O48" s="32" t="s">
        <v>48</v>
      </c>
      <c r="P48" s="3" t="s">
        <v>174</v>
      </c>
      <c r="Q48" s="32" t="s">
        <v>75</v>
      </c>
      <c r="R48" s="32" t="s">
        <v>47</v>
      </c>
      <c r="S48" s="32" t="s">
        <v>53</v>
      </c>
      <c r="T48" s="32" t="s">
        <v>53</v>
      </c>
      <c r="U48" s="3" t="s">
        <v>47</v>
      </c>
      <c r="V48" s="4" t="s">
        <v>405</v>
      </c>
      <c r="W48" s="28" t="n">
        <f aca="false">'Plepys data'!AA66</f>
        <v>15.3</v>
      </c>
      <c r="X48" s="2"/>
      <c r="Y48" s="2"/>
      <c r="Z48" s="2"/>
      <c r="AA48" s="2"/>
      <c r="AB48" s="2"/>
      <c r="AC48" s="2"/>
      <c r="AD48" s="2"/>
      <c r="AE48" s="2"/>
      <c r="AF48" s="2"/>
    </row>
    <row r="49" s="30" customFormat="true" ht="31.5" hidden="false" customHeight="false" outlineLevel="0" collapsed="false">
      <c r="A49" s="2"/>
      <c r="B49" s="35" t="s">
        <v>170</v>
      </c>
      <c r="C49" s="32" t="s">
        <v>171</v>
      </c>
      <c r="D49" s="3" t="n">
        <v>1998</v>
      </c>
      <c r="E49" s="20" t="s">
        <v>172</v>
      </c>
      <c r="F49" s="32" t="s">
        <v>51</v>
      </c>
      <c r="G49" s="32" t="s">
        <v>58</v>
      </c>
      <c r="H49" s="32" t="s">
        <v>47</v>
      </c>
      <c r="I49" s="32" t="s">
        <v>75</v>
      </c>
      <c r="J49" s="32" t="s">
        <v>58</v>
      </c>
      <c r="K49" s="32" t="n">
        <v>300</v>
      </c>
      <c r="L49" s="32" t="s">
        <v>75</v>
      </c>
      <c r="M49" s="32" t="s">
        <v>75</v>
      </c>
      <c r="N49" s="32" t="s">
        <v>75</v>
      </c>
      <c r="O49" s="32" t="s">
        <v>48</v>
      </c>
      <c r="P49" s="3" t="s">
        <v>174</v>
      </c>
      <c r="Q49" s="32" t="s">
        <v>75</v>
      </c>
      <c r="R49" s="32" t="s">
        <v>47</v>
      </c>
      <c r="S49" s="32" t="s">
        <v>53</v>
      </c>
      <c r="T49" s="32" t="s">
        <v>53</v>
      </c>
      <c r="U49" s="3" t="s">
        <v>47</v>
      </c>
      <c r="V49" s="4" t="s">
        <v>405</v>
      </c>
      <c r="W49" s="28" t="n">
        <f aca="false">'Plepys data'!AA67</f>
        <v>23.5</v>
      </c>
      <c r="X49" s="2"/>
      <c r="Y49" s="2"/>
      <c r="Z49" s="2"/>
      <c r="AA49" s="2"/>
      <c r="AB49" s="2"/>
      <c r="AC49" s="2"/>
      <c r="AD49" s="2"/>
      <c r="AE49" s="2"/>
      <c r="AF49" s="2"/>
    </row>
    <row r="50" s="30" customFormat="true" ht="31.5" hidden="false" customHeight="false" outlineLevel="0" collapsed="false">
      <c r="A50" s="2"/>
      <c r="B50" s="35" t="s">
        <v>170</v>
      </c>
      <c r="C50" s="32" t="s">
        <v>171</v>
      </c>
      <c r="D50" s="3" t="n">
        <v>1998</v>
      </c>
      <c r="E50" s="20" t="s">
        <v>172</v>
      </c>
      <c r="F50" s="32" t="s">
        <v>51</v>
      </c>
      <c r="G50" s="32" t="s">
        <v>58</v>
      </c>
      <c r="H50" s="32" t="s">
        <v>47</v>
      </c>
      <c r="I50" s="32" t="s">
        <v>75</v>
      </c>
      <c r="J50" s="32" t="s">
        <v>58</v>
      </c>
      <c r="K50" s="32" t="n">
        <v>300</v>
      </c>
      <c r="L50" s="32" t="s">
        <v>75</v>
      </c>
      <c r="M50" s="32" t="s">
        <v>75</v>
      </c>
      <c r="N50" s="32" t="s">
        <v>75</v>
      </c>
      <c r="O50" s="32" t="s">
        <v>48</v>
      </c>
      <c r="P50" s="3" t="s">
        <v>174</v>
      </c>
      <c r="Q50" s="32" t="s">
        <v>75</v>
      </c>
      <c r="R50" s="32" t="s">
        <v>47</v>
      </c>
      <c r="S50" s="32" t="s">
        <v>53</v>
      </c>
      <c r="T50" s="32" t="s">
        <v>53</v>
      </c>
      <c r="U50" s="3" t="s">
        <v>47</v>
      </c>
      <c r="V50" s="4" t="s">
        <v>405</v>
      </c>
      <c r="W50" s="28" t="n">
        <f aca="false">'Plepys data'!AA68</f>
        <v>23.5</v>
      </c>
      <c r="X50" s="2"/>
      <c r="Y50" s="2"/>
      <c r="Z50" s="2"/>
      <c r="AA50" s="2"/>
      <c r="AB50" s="2"/>
      <c r="AC50" s="2"/>
      <c r="AD50" s="2"/>
      <c r="AE50" s="2"/>
      <c r="AF50" s="2"/>
    </row>
    <row r="51" s="30" customFormat="true" ht="31.5" hidden="false" customHeight="false" outlineLevel="0" collapsed="false">
      <c r="A51" s="2"/>
      <c r="B51" s="35" t="s">
        <v>170</v>
      </c>
      <c r="C51" s="32" t="s">
        <v>171</v>
      </c>
      <c r="D51" s="3" t="n">
        <v>1999</v>
      </c>
      <c r="E51" s="20" t="s">
        <v>172</v>
      </c>
      <c r="F51" s="32" t="s">
        <v>51</v>
      </c>
      <c r="G51" s="32" t="s">
        <v>58</v>
      </c>
      <c r="H51" s="32" t="s">
        <v>47</v>
      </c>
      <c r="I51" s="32" t="s">
        <v>75</v>
      </c>
      <c r="J51" s="32" t="s">
        <v>58</v>
      </c>
      <c r="K51" s="32" t="n">
        <v>200</v>
      </c>
      <c r="L51" s="32" t="s">
        <v>75</v>
      </c>
      <c r="M51" s="32" t="s">
        <v>75</v>
      </c>
      <c r="N51" s="32" t="s">
        <v>75</v>
      </c>
      <c r="O51" s="32" t="s">
        <v>65</v>
      </c>
      <c r="P51" s="3" t="s">
        <v>174</v>
      </c>
      <c r="Q51" s="32" t="s">
        <v>75</v>
      </c>
      <c r="R51" s="32" t="s">
        <v>47</v>
      </c>
      <c r="S51" s="32" t="s">
        <v>53</v>
      </c>
      <c r="T51" s="32" t="s">
        <v>53</v>
      </c>
      <c r="U51" s="3" t="s">
        <v>47</v>
      </c>
      <c r="V51" s="4" t="s">
        <v>405</v>
      </c>
      <c r="W51" s="28" t="n">
        <f aca="false">'Plepys data'!AA69</f>
        <v>8.1</v>
      </c>
      <c r="X51" s="2"/>
      <c r="Y51" s="2"/>
      <c r="Z51" s="2"/>
      <c r="AA51" s="2"/>
      <c r="AB51" s="2"/>
      <c r="AC51" s="2"/>
      <c r="AD51" s="2"/>
      <c r="AE51" s="2"/>
      <c r="AF51" s="2"/>
    </row>
    <row r="52" s="30" customFormat="true" ht="31.5" hidden="false" customHeight="false" outlineLevel="0" collapsed="false">
      <c r="A52" s="2"/>
      <c r="B52" s="35" t="s">
        <v>170</v>
      </c>
      <c r="C52" s="32" t="s">
        <v>171</v>
      </c>
      <c r="D52" s="3" t="n">
        <v>1999</v>
      </c>
      <c r="E52" s="20" t="s">
        <v>172</v>
      </c>
      <c r="F52" s="32" t="s">
        <v>51</v>
      </c>
      <c r="G52" s="32" t="s">
        <v>58</v>
      </c>
      <c r="H52" s="32" t="s">
        <v>47</v>
      </c>
      <c r="I52" s="32" t="s">
        <v>75</v>
      </c>
      <c r="J52" s="32" t="s">
        <v>58</v>
      </c>
      <c r="K52" s="32" t="n">
        <v>200</v>
      </c>
      <c r="L52" s="32" t="s">
        <v>75</v>
      </c>
      <c r="M52" s="32" t="s">
        <v>75</v>
      </c>
      <c r="N52" s="32" t="s">
        <v>75</v>
      </c>
      <c r="O52" s="32" t="s">
        <v>48</v>
      </c>
      <c r="P52" s="3" t="s">
        <v>174</v>
      </c>
      <c r="Q52" s="32" t="s">
        <v>75</v>
      </c>
      <c r="R52" s="32" t="s">
        <v>47</v>
      </c>
      <c r="S52" s="32" t="s">
        <v>53</v>
      </c>
      <c r="T52" s="32" t="s">
        <v>53</v>
      </c>
      <c r="U52" s="3" t="s">
        <v>47</v>
      </c>
      <c r="V52" s="4" t="s">
        <v>405</v>
      </c>
      <c r="W52" s="28" t="n">
        <f aca="false">'Plepys data'!AA70</f>
        <v>7.6</v>
      </c>
      <c r="X52" s="2"/>
      <c r="Y52" s="2"/>
      <c r="Z52" s="2"/>
      <c r="AA52" s="2"/>
      <c r="AB52" s="2"/>
      <c r="AC52" s="2"/>
      <c r="AD52" s="2"/>
      <c r="AE52" s="2"/>
      <c r="AF52" s="2"/>
    </row>
    <row r="53" s="30" customFormat="true" ht="31.5" hidden="false" customHeight="false" outlineLevel="0" collapsed="false">
      <c r="A53" s="2"/>
      <c r="B53" s="35" t="s">
        <v>170</v>
      </c>
      <c r="C53" s="32" t="s">
        <v>171</v>
      </c>
      <c r="D53" s="3" t="n">
        <v>1999</v>
      </c>
      <c r="E53" s="20" t="s">
        <v>172</v>
      </c>
      <c r="F53" s="32" t="s">
        <v>51</v>
      </c>
      <c r="G53" s="32" t="s">
        <v>58</v>
      </c>
      <c r="H53" s="32" t="s">
        <v>47</v>
      </c>
      <c r="I53" s="32" t="s">
        <v>75</v>
      </c>
      <c r="J53" s="32" t="s">
        <v>58</v>
      </c>
      <c r="K53" s="32" t="n">
        <v>200</v>
      </c>
      <c r="L53" s="32" t="s">
        <v>75</v>
      </c>
      <c r="M53" s="32" t="s">
        <v>75</v>
      </c>
      <c r="N53" s="32" t="s">
        <v>75</v>
      </c>
      <c r="O53" s="32" t="s">
        <v>48</v>
      </c>
      <c r="P53" s="3" t="s">
        <v>174</v>
      </c>
      <c r="Q53" s="32" t="s">
        <v>75</v>
      </c>
      <c r="R53" s="32" t="s">
        <v>47</v>
      </c>
      <c r="S53" s="32" t="s">
        <v>53</v>
      </c>
      <c r="T53" s="32" t="s">
        <v>53</v>
      </c>
      <c r="U53" s="3" t="s">
        <v>47</v>
      </c>
      <c r="V53" s="4" t="s">
        <v>405</v>
      </c>
      <c r="W53" s="28" t="n">
        <f aca="false">'Plepys data'!AA71</f>
        <v>13.5</v>
      </c>
      <c r="X53" s="2"/>
      <c r="Y53" s="2"/>
      <c r="Z53" s="2"/>
      <c r="AA53" s="2"/>
      <c r="AB53" s="2"/>
      <c r="AC53" s="2"/>
      <c r="AD53" s="2"/>
      <c r="AE53" s="2"/>
      <c r="AF53" s="2"/>
    </row>
    <row r="54" s="30" customFormat="true" ht="31.5" hidden="false" customHeight="false" outlineLevel="0" collapsed="false">
      <c r="A54" s="2"/>
      <c r="B54" s="35" t="s">
        <v>170</v>
      </c>
      <c r="C54" s="32" t="s">
        <v>171</v>
      </c>
      <c r="D54" s="3" t="n">
        <v>2000</v>
      </c>
      <c r="E54" s="20" t="s">
        <v>172</v>
      </c>
      <c r="F54" s="32" t="s">
        <v>51</v>
      </c>
      <c r="G54" s="32" t="s">
        <v>58</v>
      </c>
      <c r="H54" s="32" t="s">
        <v>47</v>
      </c>
      <c r="I54" s="32" t="s">
        <v>75</v>
      </c>
      <c r="J54" s="32" t="s">
        <v>58</v>
      </c>
      <c r="K54" s="32" t="n">
        <v>200</v>
      </c>
      <c r="L54" s="32" t="s">
        <v>75</v>
      </c>
      <c r="M54" s="32" t="s">
        <v>75</v>
      </c>
      <c r="N54" s="32" t="s">
        <v>75</v>
      </c>
      <c r="O54" s="32" t="s">
        <v>65</v>
      </c>
      <c r="P54" s="3" t="s">
        <v>174</v>
      </c>
      <c r="Q54" s="32" t="s">
        <v>75</v>
      </c>
      <c r="R54" s="32" t="s">
        <v>47</v>
      </c>
      <c r="S54" s="32" t="s">
        <v>53</v>
      </c>
      <c r="T54" s="32" t="s">
        <v>53</v>
      </c>
      <c r="U54" s="3" t="s">
        <v>47</v>
      </c>
      <c r="V54" s="4" t="s">
        <v>405</v>
      </c>
      <c r="W54" s="28" t="n">
        <f aca="false">'Plepys data'!AA72</f>
        <v>7.6</v>
      </c>
      <c r="X54" s="2"/>
      <c r="Y54" s="2"/>
      <c r="Z54" s="2"/>
      <c r="AA54" s="2"/>
      <c r="AB54" s="2"/>
      <c r="AC54" s="2"/>
      <c r="AD54" s="2"/>
      <c r="AE54" s="2"/>
      <c r="AF54" s="2"/>
    </row>
    <row r="55" s="30" customFormat="true" ht="31.5" hidden="false" customHeight="false" outlineLevel="0" collapsed="false">
      <c r="A55" s="2"/>
      <c r="B55" s="35" t="s">
        <v>170</v>
      </c>
      <c r="C55" s="32" t="s">
        <v>171</v>
      </c>
      <c r="D55" s="3" t="n">
        <v>2000</v>
      </c>
      <c r="E55" s="20" t="s">
        <v>172</v>
      </c>
      <c r="F55" s="32" t="s">
        <v>51</v>
      </c>
      <c r="G55" s="32" t="s">
        <v>58</v>
      </c>
      <c r="H55" s="32" t="s">
        <v>47</v>
      </c>
      <c r="I55" s="32" t="s">
        <v>75</v>
      </c>
      <c r="J55" s="32" t="s">
        <v>58</v>
      </c>
      <c r="K55" s="32" t="n">
        <v>200</v>
      </c>
      <c r="L55" s="32" t="s">
        <v>75</v>
      </c>
      <c r="M55" s="32" t="s">
        <v>75</v>
      </c>
      <c r="N55" s="32" t="s">
        <v>75</v>
      </c>
      <c r="O55" s="32" t="s">
        <v>48</v>
      </c>
      <c r="P55" s="3" t="s">
        <v>174</v>
      </c>
      <c r="Q55" s="32" t="s">
        <v>75</v>
      </c>
      <c r="R55" s="32" t="s">
        <v>47</v>
      </c>
      <c r="S55" s="32" t="s">
        <v>53</v>
      </c>
      <c r="T55" s="32" t="s">
        <v>53</v>
      </c>
      <c r="U55" s="3" t="s">
        <v>47</v>
      </c>
      <c r="V55" s="4" t="s">
        <v>405</v>
      </c>
      <c r="W55" s="28" t="n">
        <f aca="false">'Plepys data'!AA73</f>
        <v>5.9</v>
      </c>
      <c r="X55" s="2"/>
      <c r="Y55" s="2"/>
      <c r="Z55" s="2"/>
      <c r="AA55" s="2"/>
      <c r="AB55" s="2"/>
      <c r="AC55" s="2"/>
      <c r="AD55" s="2"/>
      <c r="AE55" s="2"/>
      <c r="AF55" s="2"/>
    </row>
    <row r="56" s="30" customFormat="true" ht="31.5" hidden="false" customHeight="false" outlineLevel="0" collapsed="false">
      <c r="A56" s="2"/>
      <c r="B56" s="35" t="s">
        <v>170</v>
      </c>
      <c r="C56" s="32" t="s">
        <v>171</v>
      </c>
      <c r="D56" s="3" t="n">
        <v>2000</v>
      </c>
      <c r="E56" s="20" t="s">
        <v>172</v>
      </c>
      <c r="F56" s="32" t="s">
        <v>51</v>
      </c>
      <c r="G56" s="32" t="s">
        <v>58</v>
      </c>
      <c r="H56" s="32" t="s">
        <v>47</v>
      </c>
      <c r="I56" s="32" t="s">
        <v>75</v>
      </c>
      <c r="J56" s="32" t="s">
        <v>58</v>
      </c>
      <c r="K56" s="32" t="n">
        <v>200</v>
      </c>
      <c r="L56" s="32" t="s">
        <v>75</v>
      </c>
      <c r="M56" s="32" t="s">
        <v>75</v>
      </c>
      <c r="N56" s="32" t="s">
        <v>75</v>
      </c>
      <c r="O56" s="32" t="s">
        <v>48</v>
      </c>
      <c r="P56" s="3" t="s">
        <v>174</v>
      </c>
      <c r="Q56" s="32" t="s">
        <v>75</v>
      </c>
      <c r="R56" s="32" t="s">
        <v>47</v>
      </c>
      <c r="S56" s="32" t="s">
        <v>53</v>
      </c>
      <c r="T56" s="32" t="s">
        <v>53</v>
      </c>
      <c r="U56" s="3" t="s">
        <v>47</v>
      </c>
      <c r="V56" s="4" t="s">
        <v>405</v>
      </c>
      <c r="W56" s="28" t="n">
        <f aca="false">'Plepys data'!AA74</f>
        <v>14.5</v>
      </c>
      <c r="X56" s="2"/>
      <c r="Y56" s="2"/>
      <c r="Z56" s="2"/>
      <c r="AA56" s="2"/>
      <c r="AB56" s="2"/>
      <c r="AC56" s="2"/>
      <c r="AD56" s="2"/>
      <c r="AE56" s="2"/>
      <c r="AF56" s="2"/>
    </row>
    <row r="57" s="30" customFormat="true" ht="31.5" hidden="false" customHeight="false" outlineLevel="0" collapsed="false">
      <c r="A57" s="2"/>
      <c r="B57" s="35" t="s">
        <v>170</v>
      </c>
      <c r="C57" s="32" t="s">
        <v>171</v>
      </c>
      <c r="D57" s="3" t="n">
        <v>2000</v>
      </c>
      <c r="E57" s="20" t="s">
        <v>172</v>
      </c>
      <c r="F57" s="32" t="s">
        <v>51</v>
      </c>
      <c r="G57" s="32" t="s">
        <v>58</v>
      </c>
      <c r="H57" s="32" t="s">
        <v>47</v>
      </c>
      <c r="I57" s="32" t="s">
        <v>75</v>
      </c>
      <c r="J57" s="32" t="s">
        <v>58</v>
      </c>
      <c r="K57" s="32" t="n">
        <v>200</v>
      </c>
      <c r="L57" s="32" t="s">
        <v>75</v>
      </c>
      <c r="M57" s="32" t="s">
        <v>75</v>
      </c>
      <c r="N57" s="32" t="s">
        <v>75</v>
      </c>
      <c r="O57" s="32" t="s">
        <v>48</v>
      </c>
      <c r="P57" s="3" t="s">
        <v>174</v>
      </c>
      <c r="Q57" s="32" t="s">
        <v>75</v>
      </c>
      <c r="R57" s="32" t="s">
        <v>47</v>
      </c>
      <c r="S57" s="32" t="s">
        <v>53</v>
      </c>
      <c r="T57" s="32" t="s">
        <v>53</v>
      </c>
      <c r="U57" s="3" t="s">
        <v>47</v>
      </c>
      <c r="V57" s="4" t="s">
        <v>405</v>
      </c>
      <c r="W57" s="28" t="n">
        <f aca="false">'Plepys data'!AA75</f>
        <v>17.6</v>
      </c>
      <c r="X57" s="2"/>
      <c r="Y57" s="2"/>
      <c r="Z57" s="2"/>
      <c r="AA57" s="2"/>
      <c r="AB57" s="2"/>
      <c r="AC57" s="2"/>
      <c r="AD57" s="2"/>
      <c r="AE57" s="2"/>
      <c r="AF57" s="2"/>
    </row>
    <row r="58" s="30" customFormat="true" ht="31.5" hidden="false" customHeight="false" outlineLevel="0" collapsed="false">
      <c r="A58" s="2"/>
      <c r="B58" s="35" t="s">
        <v>170</v>
      </c>
      <c r="C58" s="32" t="s">
        <v>171</v>
      </c>
      <c r="D58" s="3" t="n">
        <v>2000</v>
      </c>
      <c r="E58" s="20" t="s">
        <v>172</v>
      </c>
      <c r="F58" s="32" t="s">
        <v>51</v>
      </c>
      <c r="G58" s="32" t="s">
        <v>58</v>
      </c>
      <c r="H58" s="32" t="s">
        <v>47</v>
      </c>
      <c r="I58" s="32" t="s">
        <v>75</v>
      </c>
      <c r="J58" s="32" t="s">
        <v>58</v>
      </c>
      <c r="K58" s="32" t="n">
        <v>300</v>
      </c>
      <c r="L58" s="32" t="s">
        <v>75</v>
      </c>
      <c r="M58" s="32" t="s">
        <v>75</v>
      </c>
      <c r="N58" s="32" t="s">
        <v>75</v>
      </c>
      <c r="O58" s="32" t="s">
        <v>48</v>
      </c>
      <c r="P58" s="3" t="s">
        <v>174</v>
      </c>
      <c r="Q58" s="32" t="s">
        <v>75</v>
      </c>
      <c r="R58" s="32" t="s">
        <v>47</v>
      </c>
      <c r="S58" s="32" t="s">
        <v>53</v>
      </c>
      <c r="T58" s="32" t="s">
        <v>53</v>
      </c>
      <c r="U58" s="3" t="s">
        <v>47</v>
      </c>
      <c r="V58" s="4" t="s">
        <v>405</v>
      </c>
      <c r="W58" s="28" t="n">
        <f aca="false">'Plepys data'!AA76</f>
        <v>6</v>
      </c>
      <c r="X58" s="2"/>
      <c r="Y58" s="2"/>
      <c r="Z58" s="2"/>
      <c r="AA58" s="2"/>
      <c r="AB58" s="2"/>
      <c r="AC58" s="2"/>
      <c r="AD58" s="2"/>
      <c r="AE58" s="2"/>
      <c r="AF58" s="2"/>
    </row>
    <row r="59" s="30" customFormat="true" ht="31.5" hidden="false" customHeight="false" outlineLevel="0" collapsed="false">
      <c r="A59" s="2"/>
      <c r="B59" s="35" t="s">
        <v>170</v>
      </c>
      <c r="C59" s="32" t="s">
        <v>171</v>
      </c>
      <c r="D59" s="3" t="n">
        <v>2000</v>
      </c>
      <c r="E59" s="20" t="s">
        <v>172</v>
      </c>
      <c r="F59" s="32" t="s">
        <v>51</v>
      </c>
      <c r="G59" s="32" t="s">
        <v>58</v>
      </c>
      <c r="H59" s="32" t="s">
        <v>47</v>
      </c>
      <c r="I59" s="32" t="s">
        <v>75</v>
      </c>
      <c r="J59" s="32" t="s">
        <v>58</v>
      </c>
      <c r="K59" s="32" t="n">
        <v>300</v>
      </c>
      <c r="L59" s="32" t="s">
        <v>75</v>
      </c>
      <c r="M59" s="32" t="s">
        <v>75</v>
      </c>
      <c r="N59" s="32" t="s">
        <v>75</v>
      </c>
      <c r="O59" s="32" t="s">
        <v>48</v>
      </c>
      <c r="P59" s="3" t="s">
        <v>174</v>
      </c>
      <c r="Q59" s="32" t="s">
        <v>75</v>
      </c>
      <c r="R59" s="32" t="s">
        <v>47</v>
      </c>
      <c r="S59" s="32" t="s">
        <v>53</v>
      </c>
      <c r="T59" s="32" t="s">
        <v>53</v>
      </c>
      <c r="U59" s="3" t="s">
        <v>47</v>
      </c>
      <c r="V59" s="4" t="s">
        <v>405</v>
      </c>
      <c r="W59" s="28" t="n">
        <f aca="false">'Plepys data'!AA77</f>
        <v>24</v>
      </c>
      <c r="X59" s="2"/>
      <c r="Y59" s="2"/>
      <c r="Z59" s="2"/>
      <c r="AA59" s="2"/>
      <c r="AB59" s="2"/>
      <c r="AC59" s="2"/>
      <c r="AD59" s="2"/>
      <c r="AE59" s="2"/>
      <c r="AF59" s="2"/>
    </row>
    <row r="60" s="30" customFormat="true" ht="31.5" hidden="false" customHeight="false" outlineLevel="0" collapsed="false">
      <c r="A60" s="2"/>
      <c r="B60" s="35" t="s">
        <v>170</v>
      </c>
      <c r="C60" s="32" t="s">
        <v>171</v>
      </c>
      <c r="D60" s="3" t="n">
        <v>2000</v>
      </c>
      <c r="E60" s="20" t="s">
        <v>172</v>
      </c>
      <c r="F60" s="32" t="s">
        <v>51</v>
      </c>
      <c r="G60" s="32" t="s">
        <v>58</v>
      </c>
      <c r="H60" s="32" t="s">
        <v>47</v>
      </c>
      <c r="I60" s="32" t="s">
        <v>75</v>
      </c>
      <c r="J60" s="32" t="s">
        <v>58</v>
      </c>
      <c r="K60" s="32" t="n">
        <v>300</v>
      </c>
      <c r="L60" s="32" t="s">
        <v>75</v>
      </c>
      <c r="M60" s="32" t="s">
        <v>75</v>
      </c>
      <c r="N60" s="32" t="s">
        <v>75</v>
      </c>
      <c r="O60" s="32" t="s">
        <v>48</v>
      </c>
      <c r="P60" s="3" t="s">
        <v>174</v>
      </c>
      <c r="Q60" s="32" t="s">
        <v>75</v>
      </c>
      <c r="R60" s="32" t="s">
        <v>47</v>
      </c>
      <c r="S60" s="32" t="s">
        <v>53</v>
      </c>
      <c r="T60" s="32" t="s">
        <v>53</v>
      </c>
      <c r="U60" s="3" t="s">
        <v>47</v>
      </c>
      <c r="V60" s="4" t="s">
        <v>405</v>
      </c>
      <c r="W60" s="28" t="n">
        <f aca="false">'Plepys data'!AA78</f>
        <v>18</v>
      </c>
      <c r="X60" s="2"/>
      <c r="Y60" s="2"/>
      <c r="Z60" s="2"/>
      <c r="AA60" s="2"/>
      <c r="AB60" s="2"/>
      <c r="AC60" s="2"/>
      <c r="AD60" s="2"/>
      <c r="AE60" s="2"/>
      <c r="AF60" s="2"/>
    </row>
    <row r="61" s="30" customFormat="true" ht="31.5" hidden="false" customHeight="false" outlineLevel="0" collapsed="false">
      <c r="A61" s="2"/>
      <c r="B61" s="35" t="s">
        <v>170</v>
      </c>
      <c r="C61" s="32" t="s">
        <v>171</v>
      </c>
      <c r="D61" s="3" t="n">
        <v>2001</v>
      </c>
      <c r="E61" s="20" t="s">
        <v>172</v>
      </c>
      <c r="F61" s="32" t="s">
        <v>51</v>
      </c>
      <c r="G61" s="32" t="s">
        <v>58</v>
      </c>
      <c r="H61" s="32" t="s">
        <v>47</v>
      </c>
      <c r="I61" s="32" t="s">
        <v>75</v>
      </c>
      <c r="J61" s="32" t="s">
        <v>58</v>
      </c>
      <c r="K61" s="32" t="n">
        <v>300</v>
      </c>
      <c r="L61" s="32" t="s">
        <v>75</v>
      </c>
      <c r="M61" s="32" t="s">
        <v>75</v>
      </c>
      <c r="N61" s="32" t="s">
        <v>75</v>
      </c>
      <c r="O61" s="32" t="s">
        <v>48</v>
      </c>
      <c r="P61" s="3" t="s">
        <v>174</v>
      </c>
      <c r="Q61" s="32" t="s">
        <v>75</v>
      </c>
      <c r="R61" s="32" t="s">
        <v>47</v>
      </c>
      <c r="S61" s="32" t="s">
        <v>53</v>
      </c>
      <c r="T61" s="32" t="s">
        <v>53</v>
      </c>
      <c r="U61" s="3" t="s">
        <v>47</v>
      </c>
      <c r="V61" s="4" t="s">
        <v>405</v>
      </c>
      <c r="W61" s="28" t="n">
        <f aca="false">'Plepys data'!AA79</f>
        <v>5.9</v>
      </c>
      <c r="X61" s="2"/>
      <c r="Y61" s="2"/>
      <c r="Z61" s="2"/>
      <c r="AA61" s="2"/>
      <c r="AB61" s="2"/>
      <c r="AC61" s="2"/>
      <c r="AD61" s="2"/>
      <c r="AE61" s="2"/>
      <c r="AF61" s="2"/>
    </row>
    <row r="62" s="30" customFormat="true" ht="31.5" hidden="false" customHeight="false" outlineLevel="0" collapsed="false">
      <c r="A62" s="2"/>
      <c r="B62" s="35" t="s">
        <v>170</v>
      </c>
      <c r="C62" s="32" t="s">
        <v>171</v>
      </c>
      <c r="D62" s="3" t="n">
        <v>2001</v>
      </c>
      <c r="E62" s="20" t="s">
        <v>172</v>
      </c>
      <c r="F62" s="32" t="s">
        <v>51</v>
      </c>
      <c r="G62" s="32" t="s">
        <v>58</v>
      </c>
      <c r="H62" s="32" t="s">
        <v>47</v>
      </c>
      <c r="I62" s="32" t="s">
        <v>75</v>
      </c>
      <c r="J62" s="32" t="s">
        <v>58</v>
      </c>
      <c r="K62" s="32" t="n">
        <v>200</v>
      </c>
      <c r="L62" s="32" t="s">
        <v>75</v>
      </c>
      <c r="M62" s="32" t="s">
        <v>75</v>
      </c>
      <c r="N62" s="32" t="s">
        <v>75</v>
      </c>
      <c r="O62" s="32" t="s">
        <v>48</v>
      </c>
      <c r="P62" s="3" t="s">
        <v>174</v>
      </c>
      <c r="Q62" s="32" t="s">
        <v>75</v>
      </c>
      <c r="R62" s="32" t="s">
        <v>47</v>
      </c>
      <c r="S62" s="32" t="s">
        <v>53</v>
      </c>
      <c r="T62" s="32" t="s">
        <v>53</v>
      </c>
      <c r="U62" s="3" t="s">
        <v>47</v>
      </c>
      <c r="V62" s="4" t="s">
        <v>405</v>
      </c>
      <c r="W62" s="28" t="n">
        <f aca="false">'Plepys data'!AA80</f>
        <v>8</v>
      </c>
      <c r="X62" s="2"/>
      <c r="Y62" s="2"/>
      <c r="Z62" s="2"/>
      <c r="AA62" s="2"/>
      <c r="AB62" s="2"/>
      <c r="AC62" s="2"/>
      <c r="AD62" s="2"/>
      <c r="AE62" s="2"/>
      <c r="AF62" s="2"/>
    </row>
    <row r="63" s="30" customFormat="true" ht="31.5" hidden="false" customHeight="false" outlineLevel="0" collapsed="false">
      <c r="A63" s="2"/>
      <c r="B63" s="35" t="s">
        <v>170</v>
      </c>
      <c r="C63" s="32" t="s">
        <v>171</v>
      </c>
      <c r="D63" s="3" t="n">
        <v>2002</v>
      </c>
      <c r="E63" s="20" t="s">
        <v>172</v>
      </c>
      <c r="F63" s="32" t="s">
        <v>51</v>
      </c>
      <c r="G63" s="32" t="s">
        <v>58</v>
      </c>
      <c r="H63" s="32" t="s">
        <v>47</v>
      </c>
      <c r="I63" s="32" t="s">
        <v>75</v>
      </c>
      <c r="J63" s="32" t="s">
        <v>58</v>
      </c>
      <c r="K63" s="32" t="n">
        <v>200</v>
      </c>
      <c r="L63" s="32" t="s">
        <v>75</v>
      </c>
      <c r="M63" s="32" t="s">
        <v>75</v>
      </c>
      <c r="N63" s="32" t="s">
        <v>75</v>
      </c>
      <c r="O63" s="32" t="s">
        <v>48</v>
      </c>
      <c r="P63" s="3" t="s">
        <v>174</v>
      </c>
      <c r="Q63" s="32" t="s">
        <v>75</v>
      </c>
      <c r="R63" s="32" t="s">
        <v>47</v>
      </c>
      <c r="S63" s="32" t="s">
        <v>53</v>
      </c>
      <c r="T63" s="32" t="s">
        <v>53</v>
      </c>
      <c r="U63" s="3" t="s">
        <v>47</v>
      </c>
      <c r="V63" s="4" t="s">
        <v>405</v>
      </c>
      <c r="W63" s="28" t="n">
        <f aca="false">'Plepys data'!AA81</f>
        <v>9.3</v>
      </c>
      <c r="X63" s="2"/>
      <c r="Y63" s="2"/>
      <c r="Z63" s="2"/>
      <c r="AA63" s="2"/>
      <c r="AB63" s="2"/>
      <c r="AC63" s="2"/>
      <c r="AD63" s="2"/>
      <c r="AE63" s="2"/>
      <c r="AF63" s="2"/>
    </row>
    <row r="64" s="30" customFormat="true" ht="31.5" hidden="false" customHeight="false" outlineLevel="0" collapsed="false">
      <c r="A64" s="2"/>
      <c r="B64" s="35" t="s">
        <v>170</v>
      </c>
      <c r="C64" s="32" t="s">
        <v>171</v>
      </c>
      <c r="D64" s="3" t="n">
        <v>2002</v>
      </c>
      <c r="E64" s="20" t="s">
        <v>172</v>
      </c>
      <c r="F64" s="32" t="s">
        <v>51</v>
      </c>
      <c r="G64" s="32" t="s">
        <v>58</v>
      </c>
      <c r="H64" s="32" t="s">
        <v>47</v>
      </c>
      <c r="I64" s="32" t="s">
        <v>75</v>
      </c>
      <c r="J64" s="32" t="s">
        <v>58</v>
      </c>
      <c r="K64" s="32" t="n">
        <v>200</v>
      </c>
      <c r="L64" s="32" t="s">
        <v>75</v>
      </c>
      <c r="M64" s="32" t="s">
        <v>75</v>
      </c>
      <c r="N64" s="32" t="s">
        <v>75</v>
      </c>
      <c r="O64" s="32" t="s">
        <v>48</v>
      </c>
      <c r="P64" s="3" t="s">
        <v>174</v>
      </c>
      <c r="Q64" s="32" t="s">
        <v>75</v>
      </c>
      <c r="R64" s="32" t="s">
        <v>47</v>
      </c>
      <c r="S64" s="32" t="s">
        <v>53</v>
      </c>
      <c r="T64" s="32" t="s">
        <v>53</v>
      </c>
      <c r="U64" s="3" t="s">
        <v>47</v>
      </c>
      <c r="V64" s="4" t="s">
        <v>405</v>
      </c>
      <c r="W64" s="28" t="n">
        <f aca="false">'Plepys data'!AA82</f>
        <v>28.7</v>
      </c>
      <c r="X64" s="2"/>
      <c r="Y64" s="2"/>
      <c r="Z64" s="2"/>
      <c r="AA64" s="2"/>
      <c r="AB64" s="2"/>
      <c r="AC64" s="2"/>
      <c r="AD64" s="2"/>
      <c r="AE64" s="2"/>
      <c r="AF64" s="2"/>
    </row>
    <row r="65" s="30" customFormat="true" ht="31.5" hidden="false" customHeight="false" outlineLevel="0" collapsed="false">
      <c r="A65" s="2"/>
      <c r="B65" s="35" t="s">
        <v>170</v>
      </c>
      <c r="C65" s="32" t="s">
        <v>171</v>
      </c>
      <c r="D65" s="3" t="n">
        <v>2003</v>
      </c>
      <c r="E65" s="20" t="s">
        <v>172</v>
      </c>
      <c r="F65" s="32" t="s">
        <v>51</v>
      </c>
      <c r="G65" s="32" t="s">
        <v>58</v>
      </c>
      <c r="H65" s="32" t="s">
        <v>47</v>
      </c>
      <c r="I65" s="32" t="s">
        <v>75</v>
      </c>
      <c r="J65" s="32" t="s">
        <v>58</v>
      </c>
      <c r="K65" s="32" t="n">
        <v>200</v>
      </c>
      <c r="L65" s="32" t="s">
        <v>75</v>
      </c>
      <c r="M65" s="32" t="s">
        <v>75</v>
      </c>
      <c r="N65" s="32" t="s">
        <v>75</v>
      </c>
      <c r="O65" s="32" t="s">
        <v>48</v>
      </c>
      <c r="P65" s="3" t="s">
        <v>174</v>
      </c>
      <c r="Q65" s="32" t="s">
        <v>75</v>
      </c>
      <c r="R65" s="32" t="s">
        <v>47</v>
      </c>
      <c r="S65" s="32" t="s">
        <v>53</v>
      </c>
      <c r="T65" s="32" t="s">
        <v>53</v>
      </c>
      <c r="U65" s="3" t="s">
        <v>47</v>
      </c>
      <c r="V65" s="4" t="s">
        <v>405</v>
      </c>
      <c r="W65" s="28" t="n">
        <f aca="false">'Plepys data'!AA83</f>
        <v>9.3</v>
      </c>
      <c r="X65" s="2"/>
      <c r="Y65" s="2"/>
      <c r="Z65" s="2"/>
      <c r="AA65" s="2"/>
      <c r="AB65" s="2"/>
      <c r="AC65" s="2"/>
      <c r="AD65" s="2"/>
      <c r="AE65" s="2"/>
      <c r="AF65" s="2"/>
    </row>
    <row r="66" s="30" customFormat="true" ht="31.5" hidden="false" customHeight="false" outlineLevel="0" collapsed="false">
      <c r="A66" s="2"/>
      <c r="B66" s="35" t="s">
        <v>170</v>
      </c>
      <c r="C66" s="32" t="s">
        <v>171</v>
      </c>
      <c r="D66" s="3" t="n">
        <v>2003</v>
      </c>
      <c r="E66" s="20" t="s">
        <v>172</v>
      </c>
      <c r="F66" s="32" t="s">
        <v>51</v>
      </c>
      <c r="G66" s="32" t="s">
        <v>58</v>
      </c>
      <c r="H66" s="32" t="s">
        <v>47</v>
      </c>
      <c r="I66" s="32" t="s">
        <v>75</v>
      </c>
      <c r="J66" s="32" t="s">
        <v>58</v>
      </c>
      <c r="K66" s="32" t="n">
        <v>200</v>
      </c>
      <c r="L66" s="32" t="s">
        <v>75</v>
      </c>
      <c r="M66" s="32" t="s">
        <v>75</v>
      </c>
      <c r="N66" s="32" t="s">
        <v>75</v>
      </c>
      <c r="O66" s="32" t="s">
        <v>48</v>
      </c>
      <c r="P66" s="3" t="s">
        <v>174</v>
      </c>
      <c r="Q66" s="32" t="s">
        <v>75</v>
      </c>
      <c r="R66" s="32" t="s">
        <v>47</v>
      </c>
      <c r="S66" s="32" t="s">
        <v>53</v>
      </c>
      <c r="T66" s="32" t="s">
        <v>53</v>
      </c>
      <c r="U66" s="3" t="s">
        <v>47</v>
      </c>
      <c r="V66" s="4" t="s">
        <v>405</v>
      </c>
      <c r="W66" s="28" t="n">
        <f aca="false">'Plepys data'!AA84</f>
        <v>9.4</v>
      </c>
      <c r="X66" s="2"/>
      <c r="Y66" s="2"/>
      <c r="Z66" s="2"/>
      <c r="AA66" s="2"/>
      <c r="AB66" s="2"/>
      <c r="AC66" s="2"/>
      <c r="AD66" s="2"/>
      <c r="AE66" s="2"/>
      <c r="AF66" s="2"/>
    </row>
    <row r="67" s="30" customFormat="true" ht="31.5" hidden="false" customHeight="false" outlineLevel="0" collapsed="false">
      <c r="A67" s="2"/>
      <c r="B67" s="35" t="s">
        <v>219</v>
      </c>
      <c r="C67" s="32" t="s">
        <v>220</v>
      </c>
      <c r="D67" s="3" t="n">
        <f aca="false">'Williams data'!J6</f>
        <v>2002</v>
      </c>
      <c r="E67" s="20" t="s">
        <v>221</v>
      </c>
      <c r="F67" s="27" t="s">
        <v>45</v>
      </c>
      <c r="G67" s="32" t="s">
        <v>52</v>
      </c>
      <c r="H67" s="32" t="s">
        <v>47</v>
      </c>
      <c r="I67" s="32" t="s">
        <v>47</v>
      </c>
      <c r="J67" s="32" t="s">
        <v>75</v>
      </c>
      <c r="K67" s="32" t="n">
        <v>200</v>
      </c>
      <c r="L67" s="32" t="s">
        <v>47</v>
      </c>
      <c r="M67" s="32" t="s">
        <v>75</v>
      </c>
      <c r="N67" s="32" t="s">
        <v>47</v>
      </c>
      <c r="O67" s="32" t="s">
        <v>338</v>
      </c>
      <c r="P67" s="32" t="s">
        <v>174</v>
      </c>
      <c r="Q67" s="32" t="s">
        <v>50</v>
      </c>
      <c r="R67" s="32" t="s">
        <v>53</v>
      </c>
      <c r="S67" s="32" t="s">
        <v>47</v>
      </c>
      <c r="T67" s="32" t="s">
        <v>47</v>
      </c>
      <c r="U67" s="32" t="s">
        <v>47</v>
      </c>
      <c r="V67" s="4" t="s">
        <v>464</v>
      </c>
      <c r="W67" s="28" t="n">
        <f aca="false">'Williams data'!L6</f>
        <v>20</v>
      </c>
      <c r="X67" s="2"/>
      <c r="Y67" s="2"/>
      <c r="Z67" s="2"/>
      <c r="AA67" s="2"/>
      <c r="AB67" s="2"/>
      <c r="AC67" s="2"/>
      <c r="AD67" s="2"/>
      <c r="AE67" s="2"/>
      <c r="AF67" s="2"/>
    </row>
    <row r="68" s="30" customFormat="true" ht="63" hidden="false" customHeight="false" outlineLevel="0" collapsed="false">
      <c r="A68" s="2"/>
      <c r="B68" s="35" t="s">
        <v>219</v>
      </c>
      <c r="C68" s="32" t="s">
        <v>220</v>
      </c>
      <c r="D68" s="3" t="n">
        <f aca="false">'Williams data'!J7</f>
        <v>1998</v>
      </c>
      <c r="E68" s="20" t="s">
        <v>221</v>
      </c>
      <c r="F68" s="32" t="s">
        <v>51</v>
      </c>
      <c r="G68" s="32" t="s">
        <v>46</v>
      </c>
      <c r="H68" s="32" t="s">
        <v>47</v>
      </c>
      <c r="I68" s="32" t="s">
        <v>53</v>
      </c>
      <c r="J68" s="81" t="s">
        <v>75</v>
      </c>
      <c r="K68" s="32" t="n">
        <v>150</v>
      </c>
      <c r="L68" s="3" t="s">
        <v>75</v>
      </c>
      <c r="M68" s="3" t="s">
        <v>75</v>
      </c>
      <c r="N68" s="3" t="s">
        <v>75</v>
      </c>
      <c r="O68" s="3" t="s">
        <v>75</v>
      </c>
      <c r="P68" s="3" t="s">
        <v>174</v>
      </c>
      <c r="Q68" s="3" t="s">
        <v>75</v>
      </c>
      <c r="R68" s="3" t="s">
        <v>75</v>
      </c>
      <c r="S68" s="3" t="s">
        <v>73</v>
      </c>
      <c r="T68" s="3" t="s">
        <v>53</v>
      </c>
      <c r="U68" s="32" t="s">
        <v>47</v>
      </c>
      <c r="V68" s="4" t="s">
        <v>465</v>
      </c>
      <c r="W68" s="28" t="n">
        <f aca="false">'Williams data'!L7</f>
        <v>18</v>
      </c>
      <c r="X68" s="2"/>
      <c r="Y68" s="2"/>
      <c r="Z68" s="2"/>
      <c r="AA68" s="2"/>
      <c r="AB68" s="2"/>
      <c r="AC68" s="2"/>
      <c r="AD68" s="2"/>
      <c r="AE68" s="2"/>
      <c r="AF68" s="2"/>
    </row>
    <row r="69" s="30" customFormat="true" ht="63" hidden="false" customHeight="false" outlineLevel="0" collapsed="false">
      <c r="A69" s="2"/>
      <c r="B69" s="35" t="s">
        <v>219</v>
      </c>
      <c r="C69" s="32" t="s">
        <v>220</v>
      </c>
      <c r="D69" s="3" t="n">
        <f aca="false">'Williams data'!J8</f>
        <v>1998</v>
      </c>
      <c r="E69" s="20" t="s">
        <v>221</v>
      </c>
      <c r="F69" s="32" t="s">
        <v>51</v>
      </c>
      <c r="G69" s="32" t="s">
        <v>46</v>
      </c>
      <c r="H69" s="32" t="s">
        <v>47</v>
      </c>
      <c r="I69" s="32" t="s">
        <v>53</v>
      </c>
      <c r="J69" s="81" t="s">
        <v>75</v>
      </c>
      <c r="K69" s="32" t="n">
        <v>150</v>
      </c>
      <c r="L69" s="3" t="s">
        <v>75</v>
      </c>
      <c r="M69" s="3" t="s">
        <v>75</v>
      </c>
      <c r="N69" s="3" t="s">
        <v>75</v>
      </c>
      <c r="O69" s="3" t="s">
        <v>75</v>
      </c>
      <c r="P69" s="3" t="s">
        <v>174</v>
      </c>
      <c r="Q69" s="3" t="s">
        <v>75</v>
      </c>
      <c r="R69" s="3" t="s">
        <v>75</v>
      </c>
      <c r="S69" s="3" t="s">
        <v>73</v>
      </c>
      <c r="T69" s="3" t="s">
        <v>53</v>
      </c>
      <c r="U69" s="32" t="s">
        <v>47</v>
      </c>
      <c r="V69" s="4" t="s">
        <v>466</v>
      </c>
      <c r="W69" s="28" t="n">
        <f aca="false">'Williams data'!L8</f>
        <v>27</v>
      </c>
      <c r="X69" s="2"/>
      <c r="Y69" s="2"/>
      <c r="Z69" s="2"/>
      <c r="AA69" s="2"/>
      <c r="AB69" s="2"/>
      <c r="AC69" s="2"/>
      <c r="AD69" s="2"/>
      <c r="AE69" s="2"/>
      <c r="AF69" s="2"/>
    </row>
    <row r="70" s="30" customFormat="true" ht="63" hidden="false" customHeight="false" outlineLevel="0" collapsed="false">
      <c r="A70" s="2"/>
      <c r="B70" s="35" t="s">
        <v>219</v>
      </c>
      <c r="C70" s="32" t="s">
        <v>220</v>
      </c>
      <c r="D70" s="3" t="n">
        <f aca="false">'Williams data'!J9</f>
        <v>1996</v>
      </c>
      <c r="E70" s="20" t="s">
        <v>221</v>
      </c>
      <c r="F70" s="32" t="s">
        <v>51</v>
      </c>
      <c r="G70" s="32" t="s">
        <v>75</v>
      </c>
      <c r="H70" s="32" t="s">
        <v>75</v>
      </c>
      <c r="I70" s="32" t="s">
        <v>75</v>
      </c>
      <c r="J70" s="81" t="s">
        <v>75</v>
      </c>
      <c r="K70" s="32" t="s">
        <v>75</v>
      </c>
      <c r="L70" s="3" t="s">
        <v>75</v>
      </c>
      <c r="M70" s="3" t="s">
        <v>75</v>
      </c>
      <c r="N70" s="3" t="s">
        <v>75</v>
      </c>
      <c r="O70" s="3" t="s">
        <v>75</v>
      </c>
      <c r="P70" s="3" t="s">
        <v>174</v>
      </c>
      <c r="Q70" s="3" t="s">
        <v>75</v>
      </c>
      <c r="R70" s="3" t="s">
        <v>75</v>
      </c>
      <c r="S70" s="3" t="s">
        <v>73</v>
      </c>
      <c r="T70" s="3" t="s">
        <v>53</v>
      </c>
      <c r="U70" s="3" t="s">
        <v>47</v>
      </c>
      <c r="V70" s="4" t="s">
        <v>467</v>
      </c>
      <c r="W70" s="28" t="n">
        <f aca="false">'Williams data'!L9</f>
        <v>5</v>
      </c>
      <c r="X70" s="2"/>
      <c r="Y70" s="2"/>
      <c r="Z70" s="2"/>
      <c r="AA70" s="2"/>
      <c r="AB70" s="2"/>
      <c r="AC70" s="2"/>
      <c r="AD70" s="2"/>
      <c r="AE70" s="2"/>
      <c r="AF70" s="2"/>
    </row>
    <row r="71" s="30" customFormat="true" ht="63" hidden="false" customHeight="false" outlineLevel="0" collapsed="false">
      <c r="A71" s="2"/>
      <c r="B71" s="35" t="s">
        <v>219</v>
      </c>
      <c r="C71" s="32" t="s">
        <v>220</v>
      </c>
      <c r="D71" s="3" t="n">
        <f aca="false">'Williams data'!J10</f>
        <v>1996</v>
      </c>
      <c r="E71" s="20" t="s">
        <v>221</v>
      </c>
      <c r="F71" s="32" t="s">
        <v>51</v>
      </c>
      <c r="G71" s="32" t="s">
        <v>75</v>
      </c>
      <c r="H71" s="32" t="s">
        <v>75</v>
      </c>
      <c r="I71" s="32" t="s">
        <v>75</v>
      </c>
      <c r="J71" s="81" t="s">
        <v>75</v>
      </c>
      <c r="K71" s="32" t="s">
        <v>75</v>
      </c>
      <c r="L71" s="3" t="s">
        <v>75</v>
      </c>
      <c r="M71" s="3" t="s">
        <v>75</v>
      </c>
      <c r="N71" s="3" t="s">
        <v>75</v>
      </c>
      <c r="O71" s="3" t="s">
        <v>75</v>
      </c>
      <c r="P71" s="3" t="s">
        <v>174</v>
      </c>
      <c r="Q71" s="3" t="s">
        <v>75</v>
      </c>
      <c r="R71" s="3" t="s">
        <v>75</v>
      </c>
      <c r="S71" s="3" t="s">
        <v>73</v>
      </c>
      <c r="T71" s="3" t="s">
        <v>53</v>
      </c>
      <c r="U71" s="3" t="s">
        <v>47</v>
      </c>
      <c r="V71" s="4" t="s">
        <v>467</v>
      </c>
      <c r="W71" s="28" t="n">
        <f aca="false">'Williams data'!L10</f>
        <v>29</v>
      </c>
      <c r="X71" s="2"/>
      <c r="Y71" s="2"/>
      <c r="Z71" s="2"/>
      <c r="AA71" s="2"/>
      <c r="AB71" s="2"/>
      <c r="AC71" s="2"/>
      <c r="AD71" s="2"/>
      <c r="AE71" s="2"/>
      <c r="AF71" s="2"/>
    </row>
    <row r="72" s="30" customFormat="true" ht="63" hidden="false" customHeight="false" outlineLevel="0" collapsed="false">
      <c r="A72" s="2"/>
      <c r="B72" s="35" t="s">
        <v>219</v>
      </c>
      <c r="C72" s="32" t="s">
        <v>220</v>
      </c>
      <c r="D72" s="3" t="n">
        <f aca="false">'Williams data'!J11</f>
        <v>1996</v>
      </c>
      <c r="E72" s="20" t="s">
        <v>221</v>
      </c>
      <c r="F72" s="32" t="s">
        <v>51</v>
      </c>
      <c r="G72" s="32" t="s">
        <v>75</v>
      </c>
      <c r="H72" s="32" t="s">
        <v>75</v>
      </c>
      <c r="I72" s="32" t="s">
        <v>75</v>
      </c>
      <c r="J72" s="81" t="s">
        <v>75</v>
      </c>
      <c r="K72" s="32" t="s">
        <v>75</v>
      </c>
      <c r="L72" s="3" t="s">
        <v>75</v>
      </c>
      <c r="M72" s="3" t="s">
        <v>75</v>
      </c>
      <c r="N72" s="3" t="s">
        <v>75</v>
      </c>
      <c r="O72" s="3" t="s">
        <v>75</v>
      </c>
      <c r="P72" s="3" t="s">
        <v>174</v>
      </c>
      <c r="Q72" s="3" t="s">
        <v>75</v>
      </c>
      <c r="R72" s="3" t="s">
        <v>75</v>
      </c>
      <c r="S72" s="3" t="s">
        <v>73</v>
      </c>
      <c r="T72" s="3" t="s">
        <v>53</v>
      </c>
      <c r="U72" s="3" t="s">
        <v>47</v>
      </c>
      <c r="V72" s="4" t="s">
        <v>467</v>
      </c>
      <c r="W72" s="28" t="n">
        <f aca="false">'Williams data'!L11</f>
        <v>17</v>
      </c>
      <c r="X72" s="2"/>
      <c r="Y72" s="2"/>
      <c r="Z72" s="2"/>
      <c r="AA72" s="2"/>
      <c r="AB72" s="2"/>
      <c r="AC72" s="2"/>
      <c r="AD72" s="2"/>
      <c r="AE72" s="2"/>
      <c r="AF72" s="2"/>
    </row>
    <row r="73" s="30" customFormat="true" ht="47.25" hidden="false" customHeight="false" outlineLevel="0" collapsed="false">
      <c r="A73" s="2"/>
      <c r="B73" s="35" t="s">
        <v>468</v>
      </c>
      <c r="C73" s="3" t="s">
        <v>236</v>
      </c>
      <c r="D73" s="3" t="n">
        <f aca="false">'Branham data'!I6</f>
        <v>2008</v>
      </c>
      <c r="E73" s="48" t="s">
        <v>237</v>
      </c>
      <c r="F73" s="3" t="s">
        <v>45</v>
      </c>
      <c r="G73" s="32" t="s">
        <v>46</v>
      </c>
      <c r="H73" s="3" t="s">
        <v>47</v>
      </c>
      <c r="I73" s="3" t="s">
        <v>75</v>
      </c>
      <c r="J73" s="3" t="s">
        <v>75</v>
      </c>
      <c r="K73" s="3" t="s">
        <v>75</v>
      </c>
      <c r="L73" s="3" t="s">
        <v>75</v>
      </c>
      <c r="M73" s="3" t="s">
        <v>75</v>
      </c>
      <c r="N73" s="3" t="s">
        <v>75</v>
      </c>
      <c r="O73" s="3" t="s">
        <v>75</v>
      </c>
      <c r="P73" s="3" t="s">
        <v>174</v>
      </c>
      <c r="Q73" s="32" t="s">
        <v>56</v>
      </c>
      <c r="R73" s="3" t="s">
        <v>47</v>
      </c>
      <c r="S73" s="3" t="s">
        <v>114</v>
      </c>
      <c r="T73" s="3" t="s">
        <v>53</v>
      </c>
      <c r="U73" s="3" t="s">
        <v>47</v>
      </c>
      <c r="V73" s="4" t="s">
        <v>438</v>
      </c>
      <c r="W73" s="28" t="n">
        <f aca="false">'Branham data'!K6</f>
        <v>20</v>
      </c>
      <c r="X73" s="2"/>
      <c r="Y73" s="2"/>
      <c r="Z73" s="2"/>
      <c r="AA73" s="2"/>
      <c r="AB73" s="2"/>
      <c r="AC73" s="2"/>
      <c r="AD73" s="2"/>
      <c r="AE73" s="2"/>
      <c r="AF73" s="2"/>
    </row>
    <row r="74" s="30" customFormat="true" ht="47.25" hidden="false" customHeight="false" outlineLevel="0" collapsed="false">
      <c r="A74" s="2"/>
      <c r="B74" s="35" t="s">
        <v>468</v>
      </c>
      <c r="C74" s="3" t="s">
        <v>236</v>
      </c>
      <c r="D74" s="3" t="n">
        <f aca="false">'Branham data'!I7</f>
        <v>2008</v>
      </c>
      <c r="E74" s="48" t="s">
        <v>240</v>
      </c>
      <c r="F74" s="3" t="s">
        <v>45</v>
      </c>
      <c r="G74" s="32" t="s">
        <v>46</v>
      </c>
      <c r="H74" s="3" t="s">
        <v>47</v>
      </c>
      <c r="I74" s="3" t="s">
        <v>75</v>
      </c>
      <c r="J74" s="3" t="s">
        <v>75</v>
      </c>
      <c r="K74" s="3" t="s">
        <v>75</v>
      </c>
      <c r="L74" s="3" t="s">
        <v>75</v>
      </c>
      <c r="M74" s="3" t="s">
        <v>75</v>
      </c>
      <c r="N74" s="3" t="s">
        <v>75</v>
      </c>
      <c r="O74" s="3" t="s">
        <v>75</v>
      </c>
      <c r="P74" s="3" t="s">
        <v>174</v>
      </c>
      <c r="Q74" s="32" t="s">
        <v>56</v>
      </c>
      <c r="R74" s="3" t="s">
        <v>47</v>
      </c>
      <c r="S74" s="3" t="s">
        <v>114</v>
      </c>
      <c r="T74" s="3" t="s">
        <v>53</v>
      </c>
      <c r="U74" s="3" t="s">
        <v>47</v>
      </c>
      <c r="V74" s="4" t="s">
        <v>469</v>
      </c>
      <c r="W74" s="28" t="n">
        <f aca="false">'Branham data'!K7</f>
        <v>40</v>
      </c>
      <c r="X74" s="2"/>
      <c r="Y74" s="2"/>
      <c r="Z74" s="2"/>
      <c r="AA74" s="2"/>
      <c r="AB74" s="2"/>
      <c r="AC74" s="2"/>
      <c r="AD74" s="2"/>
      <c r="AE74" s="2"/>
      <c r="AF74" s="2"/>
    </row>
    <row r="75" s="30" customFormat="true" ht="47.25" hidden="false" customHeight="false" outlineLevel="0" collapsed="false">
      <c r="A75" s="2"/>
      <c r="B75" s="35" t="s">
        <v>468</v>
      </c>
      <c r="C75" s="3" t="s">
        <v>236</v>
      </c>
      <c r="D75" s="3" t="n">
        <f aca="false">'Branham data'!I8</f>
        <v>2004</v>
      </c>
      <c r="E75" s="48" t="s">
        <v>241</v>
      </c>
      <c r="F75" s="32" t="s">
        <v>51</v>
      </c>
      <c r="G75" s="32" t="s">
        <v>46</v>
      </c>
      <c r="H75" s="3" t="s">
        <v>47</v>
      </c>
      <c r="I75" s="3" t="s">
        <v>75</v>
      </c>
      <c r="J75" s="3" t="s">
        <v>75</v>
      </c>
      <c r="K75" s="3" t="s">
        <v>75</v>
      </c>
      <c r="L75" s="3" t="s">
        <v>75</v>
      </c>
      <c r="M75" s="3" t="s">
        <v>75</v>
      </c>
      <c r="N75" s="3" t="s">
        <v>75</v>
      </c>
      <c r="O75" s="3" t="s">
        <v>75</v>
      </c>
      <c r="P75" s="3" t="s">
        <v>174</v>
      </c>
      <c r="Q75" s="32" t="s">
        <v>56</v>
      </c>
      <c r="R75" s="3" t="s">
        <v>47</v>
      </c>
      <c r="S75" s="3" t="s">
        <v>114</v>
      </c>
      <c r="T75" s="3" t="s">
        <v>53</v>
      </c>
      <c r="U75" s="3" t="s">
        <v>47</v>
      </c>
      <c r="V75" s="4" t="s">
        <v>470</v>
      </c>
      <c r="W75" s="28" t="n">
        <f aca="false">'Branham data'!K8</f>
        <v>20</v>
      </c>
      <c r="X75" s="2"/>
      <c r="Y75" s="2"/>
      <c r="Z75" s="2"/>
      <c r="AA75" s="2"/>
      <c r="AB75" s="2"/>
      <c r="AC75" s="2"/>
      <c r="AD75" s="2"/>
      <c r="AE75" s="2"/>
      <c r="AF75" s="2"/>
    </row>
    <row r="76" s="30" customFormat="true" ht="47.25" hidden="false" customHeight="false" outlineLevel="0" collapsed="false">
      <c r="A76" s="2"/>
      <c r="B76" s="35" t="s">
        <v>468</v>
      </c>
      <c r="C76" s="3" t="s">
        <v>236</v>
      </c>
      <c r="D76" s="3" t="n">
        <f aca="false">'Branham data'!I9</f>
        <v>1993</v>
      </c>
      <c r="E76" s="48" t="s">
        <v>242</v>
      </c>
      <c r="F76" s="32" t="s">
        <v>51</v>
      </c>
      <c r="G76" s="32" t="s">
        <v>46</v>
      </c>
      <c r="H76" s="3" t="s">
        <v>47</v>
      </c>
      <c r="I76" s="3" t="s">
        <v>75</v>
      </c>
      <c r="J76" s="3" t="s">
        <v>75</v>
      </c>
      <c r="K76" s="3" t="s">
        <v>75</v>
      </c>
      <c r="L76" s="3" t="s">
        <v>75</v>
      </c>
      <c r="M76" s="3" t="s">
        <v>75</v>
      </c>
      <c r="N76" s="3" t="s">
        <v>75</v>
      </c>
      <c r="O76" s="3" t="s">
        <v>75</v>
      </c>
      <c r="P76" s="3" t="s">
        <v>174</v>
      </c>
      <c r="Q76" s="32" t="s">
        <v>56</v>
      </c>
      <c r="R76" s="3" t="s">
        <v>47</v>
      </c>
      <c r="S76" s="3" t="s">
        <v>114</v>
      </c>
      <c r="T76" s="3" t="s">
        <v>53</v>
      </c>
      <c r="U76" s="3" t="s">
        <v>47</v>
      </c>
      <c r="V76" s="4" t="s">
        <v>471</v>
      </c>
      <c r="W76" s="28" t="n">
        <f aca="false">'Branham data'!K9</f>
        <v>21</v>
      </c>
      <c r="X76" s="2"/>
      <c r="Y76" s="2"/>
      <c r="Z76" s="2"/>
      <c r="AA76" s="2"/>
      <c r="AB76" s="2"/>
      <c r="AC76" s="2"/>
      <c r="AD76" s="2"/>
      <c r="AE76" s="2"/>
      <c r="AF76" s="2"/>
    </row>
    <row r="77" s="51" customFormat="true" ht="15.75" hidden="false" customHeight="false" outlineLevel="0" collapsed="false">
      <c r="V77" s="82"/>
      <c r="W77" s="53"/>
      <c r="AE77" s="82"/>
    </row>
    <row r="78" s="30" customFormat="true" ht="126" hidden="false" customHeight="false" outlineLevel="0" collapsed="false">
      <c r="A78" s="2"/>
      <c r="B78" s="2" t="s">
        <v>255</v>
      </c>
      <c r="C78" s="32" t="s">
        <v>256</v>
      </c>
      <c r="D78" s="3" t="n">
        <v>2020</v>
      </c>
      <c r="E78" s="31" t="s">
        <v>4</v>
      </c>
      <c r="F78" s="32" t="s">
        <v>51</v>
      </c>
      <c r="G78" s="3" t="s">
        <v>257</v>
      </c>
      <c r="H78" s="3" t="s">
        <v>47</v>
      </c>
      <c r="I78" s="3" t="s">
        <v>114</v>
      </c>
      <c r="J78" s="3" t="s">
        <v>258</v>
      </c>
      <c r="K78" s="3" t="s">
        <v>259</v>
      </c>
      <c r="L78" s="32" t="s">
        <v>108</v>
      </c>
      <c r="M78" s="3" t="s">
        <v>47</v>
      </c>
      <c r="N78" s="3" t="s">
        <v>82</v>
      </c>
      <c r="O78" s="3" t="s">
        <v>260</v>
      </c>
      <c r="P78" s="3" t="s">
        <v>89</v>
      </c>
      <c r="Q78" s="3" t="s">
        <v>56</v>
      </c>
      <c r="R78" s="3" t="s">
        <v>47</v>
      </c>
      <c r="S78" s="3" t="s">
        <v>53</v>
      </c>
      <c r="T78" s="3" t="s">
        <v>53</v>
      </c>
      <c r="U78" s="3" t="s">
        <v>53</v>
      </c>
      <c r="V78" s="4" t="s">
        <v>472</v>
      </c>
      <c r="W78" s="28" t="n">
        <f aca="false">'Industries data'!AB4</f>
        <v>17.0436962390693</v>
      </c>
      <c r="AE78" s="34"/>
      <c r="AF78" s="2"/>
    </row>
    <row r="79" s="30" customFormat="true" ht="126" hidden="false" customHeight="false" outlineLevel="0" collapsed="false">
      <c r="A79" s="2"/>
      <c r="B79" s="2" t="s">
        <v>262</v>
      </c>
      <c r="C79" s="32" t="s">
        <v>256</v>
      </c>
      <c r="D79" s="3" t="n">
        <v>2019</v>
      </c>
      <c r="E79" s="31" t="s">
        <v>4</v>
      </c>
      <c r="F79" s="32" t="s">
        <v>51</v>
      </c>
      <c r="G79" s="3" t="s">
        <v>257</v>
      </c>
      <c r="H79" s="3" t="s">
        <v>47</v>
      </c>
      <c r="I79" s="3" t="s">
        <v>114</v>
      </c>
      <c r="J79" s="3" t="s">
        <v>258</v>
      </c>
      <c r="K79" s="3" t="s">
        <v>259</v>
      </c>
      <c r="L79" s="32" t="s">
        <v>108</v>
      </c>
      <c r="M79" s="3" t="s">
        <v>47</v>
      </c>
      <c r="N79" s="3" t="s">
        <v>82</v>
      </c>
      <c r="O79" s="3" t="s">
        <v>260</v>
      </c>
      <c r="P79" s="3" t="s">
        <v>89</v>
      </c>
      <c r="Q79" s="3" t="s">
        <v>56</v>
      </c>
      <c r="R79" s="3" t="s">
        <v>47</v>
      </c>
      <c r="S79" s="3" t="s">
        <v>53</v>
      </c>
      <c r="T79" s="3" t="s">
        <v>53</v>
      </c>
      <c r="U79" s="3" t="s">
        <v>53</v>
      </c>
      <c r="V79" s="4" t="s">
        <v>472</v>
      </c>
      <c r="W79" s="28" t="n">
        <f aca="false">'Industries data'!AB5</f>
        <v>20.6858281401924</v>
      </c>
      <c r="AE79" s="34"/>
      <c r="AF79" s="2"/>
    </row>
    <row r="80" s="30" customFormat="true" ht="31.5" hidden="false" customHeight="false" outlineLevel="0" collapsed="false">
      <c r="A80" s="2"/>
      <c r="B80" s="2" t="s">
        <v>263</v>
      </c>
      <c r="C80" s="32" t="s">
        <v>256</v>
      </c>
      <c r="D80" s="3" t="n">
        <v>2018</v>
      </c>
      <c r="E80" s="31" t="s">
        <v>4</v>
      </c>
      <c r="F80" s="32" t="s">
        <v>51</v>
      </c>
      <c r="G80" s="3" t="s">
        <v>257</v>
      </c>
      <c r="H80" s="3" t="s">
        <v>47</v>
      </c>
      <c r="I80" s="3" t="s">
        <v>114</v>
      </c>
      <c r="J80" s="3" t="s">
        <v>258</v>
      </c>
      <c r="K80" s="3" t="s">
        <v>259</v>
      </c>
      <c r="L80" s="32" t="s">
        <v>108</v>
      </c>
      <c r="M80" s="3" t="s">
        <v>47</v>
      </c>
      <c r="N80" s="3" t="s">
        <v>82</v>
      </c>
      <c r="O80" s="3" t="s">
        <v>260</v>
      </c>
      <c r="P80" s="3" t="s">
        <v>89</v>
      </c>
      <c r="Q80" s="3" t="s">
        <v>56</v>
      </c>
      <c r="R80" s="3" t="s">
        <v>47</v>
      </c>
      <c r="S80" s="3" t="s">
        <v>53</v>
      </c>
      <c r="T80" s="3" t="s">
        <v>53</v>
      </c>
      <c r="U80" s="3" t="s">
        <v>53</v>
      </c>
      <c r="V80" s="4" t="s">
        <v>473</v>
      </c>
      <c r="W80" s="28" t="n">
        <f aca="false">'Industries data'!AB6</f>
        <v>20.9921202352168</v>
      </c>
      <c r="AE80" s="34"/>
      <c r="AF80" s="2"/>
    </row>
    <row r="81" s="30" customFormat="true" ht="126" hidden="false" customHeight="false" outlineLevel="0" collapsed="false">
      <c r="A81" s="2"/>
      <c r="B81" s="2" t="s">
        <v>264</v>
      </c>
      <c r="C81" s="32" t="s">
        <v>256</v>
      </c>
      <c r="D81" s="3" t="n">
        <v>2017</v>
      </c>
      <c r="E81" s="31" t="s">
        <v>4</v>
      </c>
      <c r="F81" s="32" t="s">
        <v>51</v>
      </c>
      <c r="G81" s="3" t="s">
        <v>257</v>
      </c>
      <c r="H81" s="3" t="s">
        <v>47</v>
      </c>
      <c r="I81" s="3" t="s">
        <v>114</v>
      </c>
      <c r="J81" s="3" t="s">
        <v>258</v>
      </c>
      <c r="K81" s="3" t="s">
        <v>259</v>
      </c>
      <c r="L81" s="32" t="s">
        <v>108</v>
      </c>
      <c r="M81" s="3" t="s">
        <v>47</v>
      </c>
      <c r="N81" s="3" t="s">
        <v>82</v>
      </c>
      <c r="O81" s="3" t="s">
        <v>260</v>
      </c>
      <c r="P81" s="3" t="s">
        <v>89</v>
      </c>
      <c r="Q81" s="3" t="s">
        <v>56</v>
      </c>
      <c r="R81" s="3" t="s">
        <v>47</v>
      </c>
      <c r="S81" s="3" t="s">
        <v>53</v>
      </c>
      <c r="T81" s="3" t="s">
        <v>53</v>
      </c>
      <c r="U81" s="3" t="s">
        <v>53</v>
      </c>
      <c r="V81" s="4" t="s">
        <v>472</v>
      </c>
      <c r="W81" s="28" t="n">
        <f aca="false">'Industries data'!AB7</f>
        <v>21.364351541094</v>
      </c>
      <c r="AE81" s="34"/>
      <c r="AF81" s="2"/>
    </row>
    <row r="82" s="30" customFormat="true" ht="126" hidden="false" customHeight="false" outlineLevel="0" collapsed="false">
      <c r="A82" s="2"/>
      <c r="B82" s="2" t="s">
        <v>265</v>
      </c>
      <c r="C82" s="32" t="s">
        <v>256</v>
      </c>
      <c r="D82" s="3" t="n">
        <v>2016</v>
      </c>
      <c r="E82" s="31" t="s">
        <v>4</v>
      </c>
      <c r="F82" s="32" t="s">
        <v>51</v>
      </c>
      <c r="G82" s="3" t="s">
        <v>257</v>
      </c>
      <c r="H82" s="3" t="s">
        <v>47</v>
      </c>
      <c r="I82" s="3" t="s">
        <v>114</v>
      </c>
      <c r="J82" s="3" t="s">
        <v>258</v>
      </c>
      <c r="K82" s="3" t="s">
        <v>259</v>
      </c>
      <c r="L82" s="32" t="s">
        <v>108</v>
      </c>
      <c r="M82" s="3" t="s">
        <v>47</v>
      </c>
      <c r="N82" s="3" t="s">
        <v>82</v>
      </c>
      <c r="O82" s="3" t="s">
        <v>260</v>
      </c>
      <c r="P82" s="3" t="s">
        <v>89</v>
      </c>
      <c r="Q82" s="3" t="s">
        <v>56</v>
      </c>
      <c r="R82" s="3" t="s">
        <v>47</v>
      </c>
      <c r="S82" s="3" t="s">
        <v>53</v>
      </c>
      <c r="T82" s="3" t="s">
        <v>53</v>
      </c>
      <c r="U82" s="3" t="s">
        <v>53</v>
      </c>
      <c r="V82" s="4" t="s">
        <v>472</v>
      </c>
      <c r="W82" s="28" t="n">
        <f aca="false">'Industries data'!AB8</f>
        <v>21.0316189539085</v>
      </c>
      <c r="AE82" s="34"/>
      <c r="AF82" s="2"/>
    </row>
    <row r="83" s="30" customFormat="true" ht="126" hidden="false" customHeight="false" outlineLevel="0" collapsed="false">
      <c r="A83" s="2"/>
      <c r="B83" s="2" t="s">
        <v>266</v>
      </c>
      <c r="C83" s="32" t="s">
        <v>256</v>
      </c>
      <c r="D83" s="3" t="n">
        <v>2015</v>
      </c>
      <c r="E83" s="31" t="s">
        <v>4</v>
      </c>
      <c r="F83" s="32" t="s">
        <v>51</v>
      </c>
      <c r="G83" s="3" t="s">
        <v>257</v>
      </c>
      <c r="H83" s="3" t="s">
        <v>47</v>
      </c>
      <c r="I83" s="3" t="s">
        <v>114</v>
      </c>
      <c r="J83" s="3" t="s">
        <v>258</v>
      </c>
      <c r="K83" s="3" t="s">
        <v>259</v>
      </c>
      <c r="L83" s="32" t="s">
        <v>108</v>
      </c>
      <c r="M83" s="3" t="s">
        <v>47</v>
      </c>
      <c r="N83" s="3" t="s">
        <v>82</v>
      </c>
      <c r="O83" s="3" t="s">
        <v>260</v>
      </c>
      <c r="P83" s="3" t="s">
        <v>89</v>
      </c>
      <c r="Q83" s="3" t="s">
        <v>56</v>
      </c>
      <c r="R83" s="3" t="s">
        <v>47</v>
      </c>
      <c r="S83" s="3" t="s">
        <v>53</v>
      </c>
      <c r="T83" s="3" t="s">
        <v>53</v>
      </c>
      <c r="U83" s="3" t="s">
        <v>53</v>
      </c>
      <c r="V83" s="4" t="s">
        <v>472</v>
      </c>
      <c r="W83" s="28" t="n">
        <f aca="false">'Industries data'!AB9</f>
        <v>21.5949099365759</v>
      </c>
      <c r="AE83" s="34"/>
      <c r="AF83" s="2"/>
    </row>
    <row r="84" s="30" customFormat="true" ht="126" hidden="false" customHeight="false" outlineLevel="0" collapsed="false">
      <c r="A84" s="2"/>
      <c r="B84" s="2" t="s">
        <v>267</v>
      </c>
      <c r="C84" s="32" t="s">
        <v>256</v>
      </c>
      <c r="D84" s="3" t="n">
        <v>2014</v>
      </c>
      <c r="E84" s="31" t="s">
        <v>4</v>
      </c>
      <c r="F84" s="32" t="s">
        <v>51</v>
      </c>
      <c r="G84" s="3" t="s">
        <v>257</v>
      </c>
      <c r="H84" s="3" t="s">
        <v>47</v>
      </c>
      <c r="I84" s="3" t="s">
        <v>114</v>
      </c>
      <c r="J84" s="3" t="s">
        <v>258</v>
      </c>
      <c r="K84" s="3" t="s">
        <v>259</v>
      </c>
      <c r="L84" s="32" t="s">
        <v>108</v>
      </c>
      <c r="M84" s="3" t="s">
        <v>47</v>
      </c>
      <c r="N84" s="3" t="s">
        <v>82</v>
      </c>
      <c r="O84" s="3" t="s">
        <v>260</v>
      </c>
      <c r="P84" s="3" t="s">
        <v>89</v>
      </c>
      <c r="Q84" s="3" t="s">
        <v>56</v>
      </c>
      <c r="R84" s="3" t="s">
        <v>47</v>
      </c>
      <c r="S84" s="3" t="s">
        <v>53</v>
      </c>
      <c r="T84" s="3" t="s">
        <v>53</v>
      </c>
      <c r="U84" s="3" t="s">
        <v>53</v>
      </c>
      <c r="V84" s="4" t="s">
        <v>472</v>
      </c>
      <c r="W84" s="28" t="n">
        <f aca="false">'Industries data'!AB10</f>
        <v>22.5371086161998</v>
      </c>
      <c r="AE84" s="34"/>
      <c r="AF84" s="2"/>
    </row>
    <row r="85" s="47" customFormat="true" ht="15.75" hidden="false" customHeight="false" outlineLevel="0" collapsed="false">
      <c r="A85" s="40"/>
      <c r="B85" s="40"/>
      <c r="C85" s="42"/>
      <c r="D85" s="42"/>
      <c r="E85" s="43"/>
      <c r="F85" s="42"/>
      <c r="G85" s="42"/>
      <c r="H85" s="42"/>
      <c r="I85" s="42"/>
      <c r="J85" s="42"/>
      <c r="K85" s="42"/>
      <c r="L85" s="41"/>
      <c r="M85" s="42"/>
      <c r="N85" s="42"/>
      <c r="O85" s="42"/>
      <c r="P85" s="42"/>
      <c r="Q85" s="42"/>
      <c r="R85" s="42"/>
      <c r="S85" s="42"/>
      <c r="T85" s="42"/>
      <c r="U85" s="42"/>
      <c r="V85" s="44"/>
      <c r="W85" s="45"/>
      <c r="X85" s="40"/>
      <c r="Y85" s="40"/>
      <c r="Z85" s="40"/>
      <c r="AA85" s="40"/>
      <c r="AB85" s="40"/>
      <c r="AC85" s="40"/>
      <c r="AD85" s="40"/>
      <c r="AE85" s="40"/>
      <c r="AF85" s="40"/>
    </row>
    <row r="86" s="30" customFormat="true" ht="141.75" hidden="false" customHeight="false" outlineLevel="0" collapsed="false">
      <c r="A86" s="2"/>
      <c r="B86" s="2" t="s">
        <v>271</v>
      </c>
      <c r="C86" s="32" t="s">
        <v>272</v>
      </c>
      <c r="D86" s="3" t="n">
        <v>2020</v>
      </c>
      <c r="E86" s="20" t="s">
        <v>4</v>
      </c>
      <c r="F86" s="32" t="s">
        <v>51</v>
      </c>
      <c r="G86" s="3" t="s">
        <v>257</v>
      </c>
      <c r="H86" s="3" t="s">
        <v>47</v>
      </c>
      <c r="I86" s="3" t="s">
        <v>114</v>
      </c>
      <c r="J86" s="3" t="s">
        <v>258</v>
      </c>
      <c r="K86" s="3" t="s">
        <v>259</v>
      </c>
      <c r="L86" s="32" t="s">
        <v>108</v>
      </c>
      <c r="M86" s="3" t="s">
        <v>47</v>
      </c>
      <c r="N86" s="3" t="s">
        <v>82</v>
      </c>
      <c r="O86" s="3" t="s">
        <v>260</v>
      </c>
      <c r="P86" s="3" t="s">
        <v>89</v>
      </c>
      <c r="Q86" s="3" t="s">
        <v>56</v>
      </c>
      <c r="R86" s="3" t="s">
        <v>47</v>
      </c>
      <c r="S86" s="3" t="s">
        <v>53</v>
      </c>
      <c r="T86" s="3" t="s">
        <v>53</v>
      </c>
      <c r="U86" s="3" t="s">
        <v>53</v>
      </c>
      <c r="V86" s="4" t="s">
        <v>474</v>
      </c>
      <c r="W86" s="28" t="n">
        <f aca="false">'Industries data'!AB15</f>
        <v>28.5361366926547</v>
      </c>
      <c r="AE86" s="34"/>
      <c r="AF86" s="2"/>
    </row>
    <row r="87" s="30" customFormat="true" ht="141.75" hidden="false" customHeight="false" outlineLevel="0" collapsed="false">
      <c r="A87" s="2"/>
      <c r="B87" s="2" t="s">
        <v>274</v>
      </c>
      <c r="C87" s="32" t="s">
        <v>272</v>
      </c>
      <c r="D87" s="3" t="n">
        <v>2019</v>
      </c>
      <c r="E87" s="20" t="s">
        <v>4</v>
      </c>
      <c r="F87" s="32" t="s">
        <v>51</v>
      </c>
      <c r="G87" s="3" t="s">
        <v>257</v>
      </c>
      <c r="H87" s="3" t="s">
        <v>47</v>
      </c>
      <c r="I87" s="3" t="s">
        <v>114</v>
      </c>
      <c r="J87" s="3" t="s">
        <v>258</v>
      </c>
      <c r="K87" s="3" t="s">
        <v>259</v>
      </c>
      <c r="L87" s="32" t="s">
        <v>108</v>
      </c>
      <c r="M87" s="3" t="s">
        <v>47</v>
      </c>
      <c r="N87" s="3" t="s">
        <v>82</v>
      </c>
      <c r="O87" s="3" t="s">
        <v>260</v>
      </c>
      <c r="P87" s="3" t="s">
        <v>89</v>
      </c>
      <c r="Q87" s="3" t="s">
        <v>56</v>
      </c>
      <c r="R87" s="3" t="s">
        <v>47</v>
      </c>
      <c r="S87" s="3" t="s">
        <v>53</v>
      </c>
      <c r="T87" s="3" t="s">
        <v>53</v>
      </c>
      <c r="U87" s="3" t="s">
        <v>53</v>
      </c>
      <c r="V87" s="4" t="s">
        <v>474</v>
      </c>
      <c r="W87" s="28" t="n">
        <f aca="false">'Industries data'!AB16</f>
        <v>23.7220183941635</v>
      </c>
      <c r="AE87" s="34"/>
      <c r="AF87" s="2"/>
    </row>
    <row r="88" s="30" customFormat="true" ht="141.75" hidden="false" customHeight="false" outlineLevel="0" collapsed="false">
      <c r="A88" s="2"/>
      <c r="B88" s="2" t="s">
        <v>275</v>
      </c>
      <c r="C88" s="32" t="s">
        <v>272</v>
      </c>
      <c r="D88" s="3" t="n">
        <v>2018</v>
      </c>
      <c r="E88" s="20" t="s">
        <v>4</v>
      </c>
      <c r="F88" s="32" t="s">
        <v>51</v>
      </c>
      <c r="G88" s="3" t="s">
        <v>257</v>
      </c>
      <c r="H88" s="3" t="s">
        <v>47</v>
      </c>
      <c r="I88" s="3" t="s">
        <v>114</v>
      </c>
      <c r="J88" s="3" t="s">
        <v>258</v>
      </c>
      <c r="K88" s="3" t="s">
        <v>259</v>
      </c>
      <c r="L88" s="32" t="s">
        <v>108</v>
      </c>
      <c r="M88" s="3" t="s">
        <v>47</v>
      </c>
      <c r="N88" s="3" t="s">
        <v>82</v>
      </c>
      <c r="O88" s="3" t="s">
        <v>260</v>
      </c>
      <c r="P88" s="3" t="s">
        <v>89</v>
      </c>
      <c r="Q88" s="3" t="s">
        <v>56</v>
      </c>
      <c r="R88" s="3" t="s">
        <v>47</v>
      </c>
      <c r="S88" s="3" t="s">
        <v>53</v>
      </c>
      <c r="T88" s="3" t="s">
        <v>53</v>
      </c>
      <c r="U88" s="3" t="s">
        <v>53</v>
      </c>
      <c r="V88" s="4" t="s">
        <v>475</v>
      </c>
      <c r="W88" s="28" t="n">
        <f aca="false">'Industries data'!AB17</f>
        <v>22.8429665643172</v>
      </c>
      <c r="AE88" s="34"/>
      <c r="AF88" s="2"/>
    </row>
    <row r="89" s="30" customFormat="true" ht="141.75" hidden="false" customHeight="false" outlineLevel="0" collapsed="false">
      <c r="A89" s="2"/>
      <c r="B89" s="2" t="s">
        <v>277</v>
      </c>
      <c r="C89" s="32" t="s">
        <v>272</v>
      </c>
      <c r="D89" s="32" t="n">
        <v>2017</v>
      </c>
      <c r="E89" s="20" t="s">
        <v>4</v>
      </c>
      <c r="F89" s="32" t="s">
        <v>51</v>
      </c>
      <c r="G89" s="3" t="s">
        <v>257</v>
      </c>
      <c r="H89" s="3" t="s">
        <v>47</v>
      </c>
      <c r="I89" s="3" t="s">
        <v>114</v>
      </c>
      <c r="J89" s="3" t="s">
        <v>258</v>
      </c>
      <c r="K89" s="3" t="s">
        <v>259</v>
      </c>
      <c r="L89" s="32" t="s">
        <v>108</v>
      </c>
      <c r="M89" s="3" t="s">
        <v>47</v>
      </c>
      <c r="N89" s="3" t="s">
        <v>82</v>
      </c>
      <c r="O89" s="3" t="s">
        <v>260</v>
      </c>
      <c r="P89" s="3" t="s">
        <v>89</v>
      </c>
      <c r="Q89" s="3" t="s">
        <v>56</v>
      </c>
      <c r="R89" s="3" t="s">
        <v>47</v>
      </c>
      <c r="S89" s="3" t="s">
        <v>53</v>
      </c>
      <c r="T89" s="3" t="s">
        <v>53</v>
      </c>
      <c r="U89" s="3" t="s">
        <v>53</v>
      </c>
      <c r="V89" s="4" t="s">
        <v>476</v>
      </c>
      <c r="W89" s="28" t="n">
        <f aca="false">'Industries data'!AB18</f>
        <v>20.5725141300457</v>
      </c>
      <c r="AE89" s="34"/>
      <c r="AF89" s="2"/>
    </row>
    <row r="90" s="30" customFormat="true" ht="141.75" hidden="false" customHeight="false" outlineLevel="0" collapsed="false">
      <c r="A90" s="2"/>
      <c r="B90" s="2" t="s">
        <v>279</v>
      </c>
      <c r="C90" s="32" t="s">
        <v>272</v>
      </c>
      <c r="D90" s="3" t="n">
        <v>2016</v>
      </c>
      <c r="E90" s="20" t="s">
        <v>4</v>
      </c>
      <c r="F90" s="32" t="s">
        <v>51</v>
      </c>
      <c r="G90" s="3" t="s">
        <v>257</v>
      </c>
      <c r="H90" s="3" t="s">
        <v>47</v>
      </c>
      <c r="I90" s="3" t="s">
        <v>114</v>
      </c>
      <c r="J90" s="3" t="s">
        <v>258</v>
      </c>
      <c r="K90" s="3" t="s">
        <v>259</v>
      </c>
      <c r="L90" s="32" t="s">
        <v>108</v>
      </c>
      <c r="M90" s="3" t="s">
        <v>47</v>
      </c>
      <c r="N90" s="3" t="s">
        <v>82</v>
      </c>
      <c r="O90" s="3" t="s">
        <v>260</v>
      </c>
      <c r="P90" s="3" t="s">
        <v>89</v>
      </c>
      <c r="Q90" s="3" t="s">
        <v>56</v>
      </c>
      <c r="R90" s="3" t="s">
        <v>47</v>
      </c>
      <c r="S90" s="3" t="s">
        <v>53</v>
      </c>
      <c r="T90" s="3" t="s">
        <v>53</v>
      </c>
      <c r="U90" s="3" t="s">
        <v>53</v>
      </c>
      <c r="V90" s="4" t="s">
        <v>477</v>
      </c>
      <c r="W90" s="28" t="n">
        <f aca="false">'Industries data'!AB19</f>
        <v>20.238868375985</v>
      </c>
      <c r="AE90" s="34"/>
      <c r="AF90" s="2"/>
    </row>
    <row r="91" s="30" customFormat="true" ht="141.75" hidden="false" customHeight="false" outlineLevel="0" collapsed="false">
      <c r="A91" s="2"/>
      <c r="B91" s="2" t="s">
        <v>281</v>
      </c>
      <c r="C91" s="32" t="s">
        <v>272</v>
      </c>
      <c r="D91" s="3" t="n">
        <v>2015</v>
      </c>
      <c r="E91" s="20" t="s">
        <v>4</v>
      </c>
      <c r="F91" s="32" t="s">
        <v>51</v>
      </c>
      <c r="G91" s="3" t="s">
        <v>257</v>
      </c>
      <c r="H91" s="3" t="s">
        <v>47</v>
      </c>
      <c r="I91" s="3" t="s">
        <v>114</v>
      </c>
      <c r="J91" s="3" t="s">
        <v>258</v>
      </c>
      <c r="K91" s="3" t="s">
        <v>259</v>
      </c>
      <c r="L91" s="32" t="s">
        <v>108</v>
      </c>
      <c r="M91" s="3" t="s">
        <v>47</v>
      </c>
      <c r="N91" s="3" t="s">
        <v>82</v>
      </c>
      <c r="O91" s="3" t="s">
        <v>260</v>
      </c>
      <c r="P91" s="3" t="s">
        <v>89</v>
      </c>
      <c r="Q91" s="3" t="s">
        <v>56</v>
      </c>
      <c r="R91" s="3" t="s">
        <v>47</v>
      </c>
      <c r="S91" s="3" t="s">
        <v>53</v>
      </c>
      <c r="T91" s="3" t="s">
        <v>53</v>
      </c>
      <c r="U91" s="3" t="s">
        <v>53</v>
      </c>
      <c r="V91" s="4" t="s">
        <v>477</v>
      </c>
      <c r="W91" s="28" t="n">
        <f aca="false">'Industries data'!AB20</f>
        <v>20.2202555884141</v>
      </c>
      <c r="AE91" s="34"/>
      <c r="AF91" s="2"/>
    </row>
    <row r="92" s="30" customFormat="true" ht="141.75" hidden="false" customHeight="false" outlineLevel="0" collapsed="false">
      <c r="A92" s="2"/>
      <c r="B92" s="2" t="s">
        <v>282</v>
      </c>
      <c r="C92" s="32" t="s">
        <v>272</v>
      </c>
      <c r="D92" s="3" t="n">
        <v>2014</v>
      </c>
      <c r="E92" s="20" t="s">
        <v>4</v>
      </c>
      <c r="F92" s="32" t="s">
        <v>51</v>
      </c>
      <c r="G92" s="3" t="s">
        <v>257</v>
      </c>
      <c r="H92" s="3" t="s">
        <v>47</v>
      </c>
      <c r="I92" s="3" t="s">
        <v>114</v>
      </c>
      <c r="J92" s="3" t="s">
        <v>258</v>
      </c>
      <c r="K92" s="3" t="s">
        <v>259</v>
      </c>
      <c r="L92" s="32" t="s">
        <v>108</v>
      </c>
      <c r="M92" s="3" t="s">
        <v>47</v>
      </c>
      <c r="N92" s="3" t="s">
        <v>82</v>
      </c>
      <c r="O92" s="3" t="s">
        <v>260</v>
      </c>
      <c r="P92" s="3" t="s">
        <v>89</v>
      </c>
      <c r="Q92" s="3" t="s">
        <v>56</v>
      </c>
      <c r="R92" s="3" t="s">
        <v>47</v>
      </c>
      <c r="S92" s="3" t="s">
        <v>53</v>
      </c>
      <c r="T92" s="3" t="s">
        <v>53</v>
      </c>
      <c r="U92" s="3" t="s">
        <v>53</v>
      </c>
      <c r="V92" s="4" t="s">
        <v>478</v>
      </c>
      <c r="W92" s="28" t="n">
        <f aca="false">'Industries data'!AB21</f>
        <v>17.3454259445048</v>
      </c>
      <c r="AE92" s="34"/>
      <c r="AF92" s="2"/>
    </row>
    <row r="93" s="30" customFormat="true" ht="141.75" hidden="false" customHeight="false" outlineLevel="0" collapsed="false">
      <c r="A93" s="2"/>
      <c r="B93" s="2" t="s">
        <v>284</v>
      </c>
      <c r="C93" s="32" t="s">
        <v>272</v>
      </c>
      <c r="D93" s="3" t="n">
        <v>2013</v>
      </c>
      <c r="E93" s="20" t="s">
        <v>4</v>
      </c>
      <c r="F93" s="32" t="s">
        <v>51</v>
      </c>
      <c r="G93" s="3" t="s">
        <v>257</v>
      </c>
      <c r="H93" s="3" t="s">
        <v>47</v>
      </c>
      <c r="I93" s="3" t="s">
        <v>114</v>
      </c>
      <c r="J93" s="3" t="s">
        <v>258</v>
      </c>
      <c r="K93" s="3" t="s">
        <v>259</v>
      </c>
      <c r="L93" s="32" t="s">
        <v>108</v>
      </c>
      <c r="M93" s="3" t="s">
        <v>47</v>
      </c>
      <c r="N93" s="3" t="s">
        <v>82</v>
      </c>
      <c r="O93" s="3" t="s">
        <v>260</v>
      </c>
      <c r="P93" s="3" t="s">
        <v>89</v>
      </c>
      <c r="Q93" s="3" t="s">
        <v>56</v>
      </c>
      <c r="R93" s="3" t="s">
        <v>47</v>
      </c>
      <c r="S93" s="3" t="s">
        <v>53</v>
      </c>
      <c r="T93" s="3" t="s">
        <v>53</v>
      </c>
      <c r="U93" s="3" t="s">
        <v>53</v>
      </c>
      <c r="V93" s="4" t="s">
        <v>479</v>
      </c>
      <c r="W93" s="28" t="n">
        <f aca="false">'Industries data'!AB22</f>
        <v>16.1291949205502</v>
      </c>
      <c r="AE93" s="34"/>
      <c r="AF93" s="2"/>
    </row>
    <row r="94" s="30" customFormat="true" ht="141.75" hidden="false" customHeight="false" outlineLevel="0" collapsed="false">
      <c r="A94" s="2"/>
      <c r="B94" s="2" t="s">
        <v>285</v>
      </c>
      <c r="C94" s="32" t="s">
        <v>272</v>
      </c>
      <c r="D94" s="3" t="n">
        <v>2012</v>
      </c>
      <c r="E94" s="20" t="s">
        <v>4</v>
      </c>
      <c r="F94" s="32" t="s">
        <v>51</v>
      </c>
      <c r="G94" s="3" t="s">
        <v>257</v>
      </c>
      <c r="H94" s="3" t="s">
        <v>47</v>
      </c>
      <c r="I94" s="3" t="s">
        <v>114</v>
      </c>
      <c r="J94" s="3" t="s">
        <v>258</v>
      </c>
      <c r="K94" s="3" t="s">
        <v>259</v>
      </c>
      <c r="L94" s="32" t="s">
        <v>108</v>
      </c>
      <c r="M94" s="3" t="s">
        <v>47</v>
      </c>
      <c r="N94" s="3" t="s">
        <v>82</v>
      </c>
      <c r="O94" s="3" t="s">
        <v>260</v>
      </c>
      <c r="P94" s="3" t="s">
        <v>89</v>
      </c>
      <c r="Q94" s="3" t="s">
        <v>56</v>
      </c>
      <c r="R94" s="3" t="s">
        <v>47</v>
      </c>
      <c r="S94" s="3" t="s">
        <v>53</v>
      </c>
      <c r="T94" s="3" t="s">
        <v>53</v>
      </c>
      <c r="U94" s="3" t="s">
        <v>53</v>
      </c>
      <c r="V94" s="4" t="s">
        <v>478</v>
      </c>
      <c r="W94" s="28" t="n">
        <f aca="false">'Industries data'!AB23</f>
        <v>16.9396558907549</v>
      </c>
      <c r="AE94" s="34"/>
      <c r="AF94" s="2"/>
    </row>
    <row r="95" s="30" customFormat="true" ht="141.75" hidden="false" customHeight="false" outlineLevel="0" collapsed="false">
      <c r="A95" s="2"/>
      <c r="B95" s="2" t="s">
        <v>287</v>
      </c>
      <c r="C95" s="32" t="s">
        <v>272</v>
      </c>
      <c r="D95" s="3" t="n">
        <v>2011</v>
      </c>
      <c r="E95" s="20" t="s">
        <v>4</v>
      </c>
      <c r="F95" s="32" t="s">
        <v>51</v>
      </c>
      <c r="G95" s="3" t="s">
        <v>257</v>
      </c>
      <c r="H95" s="3" t="s">
        <v>47</v>
      </c>
      <c r="I95" s="3" t="s">
        <v>114</v>
      </c>
      <c r="J95" s="3" t="s">
        <v>258</v>
      </c>
      <c r="K95" s="3" t="s">
        <v>259</v>
      </c>
      <c r="L95" s="32" t="s">
        <v>108</v>
      </c>
      <c r="M95" s="3" t="s">
        <v>47</v>
      </c>
      <c r="N95" s="3" t="s">
        <v>82</v>
      </c>
      <c r="O95" s="3" t="s">
        <v>260</v>
      </c>
      <c r="P95" s="3" t="s">
        <v>89</v>
      </c>
      <c r="Q95" s="3" t="s">
        <v>56</v>
      </c>
      <c r="R95" s="3" t="s">
        <v>47</v>
      </c>
      <c r="S95" s="3" t="s">
        <v>53</v>
      </c>
      <c r="T95" s="3" t="s">
        <v>53</v>
      </c>
      <c r="U95" s="3" t="s">
        <v>53</v>
      </c>
      <c r="V95" s="4" t="s">
        <v>479</v>
      </c>
      <c r="W95" s="28" t="n">
        <f aca="false">'Industries data'!AB24</f>
        <v>15.2207377827048</v>
      </c>
      <c r="AE95" s="34"/>
      <c r="AF95" s="2"/>
    </row>
    <row r="96" s="30" customFormat="true" ht="141.75" hidden="false" customHeight="false" outlineLevel="0" collapsed="false">
      <c r="A96" s="2"/>
      <c r="B96" s="2" t="s">
        <v>288</v>
      </c>
      <c r="C96" s="32" t="s">
        <v>272</v>
      </c>
      <c r="D96" s="3" t="n">
        <v>2010</v>
      </c>
      <c r="E96" s="20" t="s">
        <v>4</v>
      </c>
      <c r="F96" s="32" t="s">
        <v>51</v>
      </c>
      <c r="G96" s="3" t="s">
        <v>257</v>
      </c>
      <c r="H96" s="3" t="s">
        <v>47</v>
      </c>
      <c r="I96" s="3" t="s">
        <v>114</v>
      </c>
      <c r="J96" s="3" t="s">
        <v>258</v>
      </c>
      <c r="K96" s="3" t="s">
        <v>259</v>
      </c>
      <c r="L96" s="32" t="s">
        <v>108</v>
      </c>
      <c r="M96" s="3" t="s">
        <v>47</v>
      </c>
      <c r="N96" s="3" t="s">
        <v>82</v>
      </c>
      <c r="O96" s="3" t="s">
        <v>260</v>
      </c>
      <c r="P96" s="3" t="s">
        <v>89</v>
      </c>
      <c r="Q96" s="3" t="s">
        <v>56</v>
      </c>
      <c r="R96" s="3" t="s">
        <v>47</v>
      </c>
      <c r="S96" s="3" t="s">
        <v>53</v>
      </c>
      <c r="T96" s="3" t="s">
        <v>53</v>
      </c>
      <c r="U96" s="3" t="s">
        <v>53</v>
      </c>
      <c r="V96" s="4" t="s">
        <v>480</v>
      </c>
      <c r="W96" s="28" t="n">
        <f aca="false">'Industries data'!AB25</f>
        <v>15.6864094458709</v>
      </c>
      <c r="AE96" s="34"/>
      <c r="AF96" s="2"/>
    </row>
    <row r="97" s="47" customFormat="true" ht="15.75" hidden="false" customHeight="false" outlineLevel="0" collapsed="false">
      <c r="A97" s="40"/>
      <c r="B97" s="40"/>
      <c r="C97" s="42"/>
      <c r="D97" s="42"/>
      <c r="E97" s="43"/>
      <c r="F97" s="42"/>
      <c r="G97" s="42"/>
      <c r="H97" s="42"/>
      <c r="I97" s="42"/>
      <c r="J97" s="42"/>
      <c r="K97" s="42"/>
      <c r="L97" s="41"/>
      <c r="M97" s="42"/>
      <c r="N97" s="42"/>
      <c r="O97" s="42"/>
      <c r="P97" s="42"/>
      <c r="Q97" s="42"/>
      <c r="R97" s="42"/>
      <c r="S97" s="42"/>
      <c r="T97" s="42"/>
      <c r="U97" s="42"/>
      <c r="V97" s="44"/>
      <c r="W97" s="45"/>
      <c r="X97" s="40"/>
      <c r="Y97" s="40"/>
      <c r="Z97" s="40"/>
      <c r="AA97" s="40"/>
      <c r="AB97" s="40"/>
      <c r="AC97" s="40"/>
      <c r="AD97" s="40"/>
      <c r="AE97" s="40"/>
      <c r="AF97" s="40"/>
    </row>
    <row r="98" s="30" customFormat="true" ht="126" hidden="false" customHeight="false" outlineLevel="0" collapsed="false">
      <c r="A98" s="2"/>
      <c r="B98" s="2" t="s">
        <v>290</v>
      </c>
      <c r="C98" s="3" t="s">
        <v>291</v>
      </c>
      <c r="D98" s="3" t="n">
        <v>2020</v>
      </c>
      <c r="E98" s="20" t="s">
        <v>4</v>
      </c>
      <c r="F98" s="3" t="s">
        <v>51</v>
      </c>
      <c r="G98" s="3" t="s">
        <v>257</v>
      </c>
      <c r="H98" s="3" t="s">
        <v>47</v>
      </c>
      <c r="I98" s="3" t="s">
        <v>114</v>
      </c>
      <c r="J98" s="3" t="s">
        <v>58</v>
      </c>
      <c r="K98" s="3" t="s">
        <v>258</v>
      </c>
      <c r="L98" s="32" t="s">
        <v>108</v>
      </c>
      <c r="M98" s="3" t="s">
        <v>47</v>
      </c>
      <c r="N98" s="3" t="s">
        <v>82</v>
      </c>
      <c r="O98" s="3" t="s">
        <v>450</v>
      </c>
      <c r="P98" s="3" t="s">
        <v>89</v>
      </c>
      <c r="Q98" s="3" t="s">
        <v>56</v>
      </c>
      <c r="R98" s="3" t="s">
        <v>47</v>
      </c>
      <c r="S98" s="3" t="s">
        <v>53</v>
      </c>
      <c r="T98" s="3" t="s">
        <v>53</v>
      </c>
      <c r="U98" s="3" t="s">
        <v>53</v>
      </c>
      <c r="V98" s="4" t="s">
        <v>481</v>
      </c>
      <c r="W98" s="28" t="n">
        <f aca="false">'Industries data'!AB27</f>
        <v>19.2824991052609</v>
      </c>
      <c r="AE98" s="34"/>
      <c r="AF98" s="2"/>
    </row>
    <row r="99" s="30" customFormat="true" ht="126" hidden="false" customHeight="false" outlineLevel="0" collapsed="false">
      <c r="A99" s="2"/>
      <c r="B99" s="2" t="s">
        <v>294</v>
      </c>
      <c r="C99" s="3" t="s">
        <v>291</v>
      </c>
      <c r="D99" s="3" t="n">
        <v>2019</v>
      </c>
      <c r="E99" s="20" t="s">
        <v>4</v>
      </c>
      <c r="F99" s="3" t="s">
        <v>51</v>
      </c>
      <c r="G99" s="3" t="s">
        <v>257</v>
      </c>
      <c r="H99" s="3" t="s">
        <v>47</v>
      </c>
      <c r="I99" s="3" t="s">
        <v>114</v>
      </c>
      <c r="J99" s="3" t="s">
        <v>58</v>
      </c>
      <c r="K99" s="3" t="s">
        <v>258</v>
      </c>
      <c r="L99" s="32" t="s">
        <v>108</v>
      </c>
      <c r="M99" s="3" t="s">
        <v>47</v>
      </c>
      <c r="N99" s="3" t="s">
        <v>82</v>
      </c>
      <c r="O99" s="3" t="s">
        <v>450</v>
      </c>
      <c r="P99" s="3" t="s">
        <v>89</v>
      </c>
      <c r="Q99" s="3" t="s">
        <v>56</v>
      </c>
      <c r="R99" s="3" t="s">
        <v>47</v>
      </c>
      <c r="S99" s="3" t="s">
        <v>53</v>
      </c>
      <c r="T99" s="3" t="s">
        <v>53</v>
      </c>
      <c r="U99" s="3" t="s">
        <v>53</v>
      </c>
      <c r="V99" s="4" t="s">
        <v>481</v>
      </c>
      <c r="W99" s="28" t="n">
        <f aca="false">'Industries data'!AB28</f>
        <v>16.5278563759379</v>
      </c>
      <c r="AE99" s="34"/>
      <c r="AF99" s="2"/>
    </row>
    <row r="100" s="30" customFormat="true" ht="126" hidden="false" customHeight="false" outlineLevel="0" collapsed="false">
      <c r="A100" s="2"/>
      <c r="B100" s="2" t="s">
        <v>295</v>
      </c>
      <c r="C100" s="3" t="s">
        <v>291</v>
      </c>
      <c r="D100" s="3" t="n">
        <v>2018</v>
      </c>
      <c r="E100" s="20" t="s">
        <v>4</v>
      </c>
      <c r="F100" s="3" t="s">
        <v>51</v>
      </c>
      <c r="G100" s="3" t="s">
        <v>257</v>
      </c>
      <c r="H100" s="3" t="s">
        <v>47</v>
      </c>
      <c r="I100" s="3" t="s">
        <v>114</v>
      </c>
      <c r="J100" s="3" t="s">
        <v>58</v>
      </c>
      <c r="K100" s="3" t="s">
        <v>258</v>
      </c>
      <c r="L100" s="32" t="s">
        <v>108</v>
      </c>
      <c r="M100" s="3" t="s">
        <v>47</v>
      </c>
      <c r="N100" s="3" t="s">
        <v>82</v>
      </c>
      <c r="O100" s="3" t="s">
        <v>450</v>
      </c>
      <c r="P100" s="3" t="s">
        <v>89</v>
      </c>
      <c r="Q100" s="3" t="s">
        <v>56</v>
      </c>
      <c r="R100" s="3" t="s">
        <v>47</v>
      </c>
      <c r="S100" s="3" t="s">
        <v>53</v>
      </c>
      <c r="T100" s="3" t="s">
        <v>53</v>
      </c>
      <c r="U100" s="3" t="s">
        <v>53</v>
      </c>
      <c r="V100" s="4" t="s">
        <v>481</v>
      </c>
      <c r="W100" s="28" t="n">
        <f aca="false">'Industries data'!AB29</f>
        <v>15.4259992842087</v>
      </c>
      <c r="AE100" s="34"/>
      <c r="AF100" s="2"/>
    </row>
    <row r="101" s="30" customFormat="true" ht="126" hidden="false" customHeight="false" outlineLevel="0" collapsed="false">
      <c r="A101" s="2"/>
      <c r="B101" s="2" t="s">
        <v>296</v>
      </c>
      <c r="C101" s="3" t="s">
        <v>291</v>
      </c>
      <c r="D101" s="3" t="n">
        <v>2017</v>
      </c>
      <c r="E101" s="20" t="s">
        <v>4</v>
      </c>
      <c r="F101" s="3" t="s">
        <v>51</v>
      </c>
      <c r="G101" s="3" t="s">
        <v>257</v>
      </c>
      <c r="H101" s="3" t="s">
        <v>47</v>
      </c>
      <c r="I101" s="3" t="s">
        <v>114</v>
      </c>
      <c r="J101" s="3" t="s">
        <v>58</v>
      </c>
      <c r="K101" s="3" t="s">
        <v>258</v>
      </c>
      <c r="L101" s="32" t="s">
        <v>108</v>
      </c>
      <c r="M101" s="3" t="s">
        <v>47</v>
      </c>
      <c r="N101" s="3" t="s">
        <v>82</v>
      </c>
      <c r="O101" s="3" t="s">
        <v>450</v>
      </c>
      <c r="P101" s="3" t="s">
        <v>89</v>
      </c>
      <c r="Q101" s="3" t="s">
        <v>56</v>
      </c>
      <c r="R101" s="3" t="s">
        <v>47</v>
      </c>
      <c r="S101" s="3" t="s">
        <v>53</v>
      </c>
      <c r="T101" s="3" t="s">
        <v>53</v>
      </c>
      <c r="U101" s="3" t="s">
        <v>53</v>
      </c>
      <c r="V101" s="4" t="s">
        <v>481</v>
      </c>
      <c r="W101" s="28" t="n">
        <f aca="false">'Industries data'!AB30</f>
        <v>16.1605706786949</v>
      </c>
      <c r="AE101" s="34"/>
      <c r="AF101" s="2"/>
    </row>
    <row r="102" s="30" customFormat="true" ht="126" hidden="false" customHeight="false" outlineLevel="0" collapsed="false">
      <c r="A102" s="2"/>
      <c r="B102" s="2" t="s">
        <v>297</v>
      </c>
      <c r="C102" s="3" t="s">
        <v>291</v>
      </c>
      <c r="D102" s="3" t="n">
        <v>2016</v>
      </c>
      <c r="E102" s="20" t="s">
        <v>4</v>
      </c>
      <c r="F102" s="3" t="s">
        <v>51</v>
      </c>
      <c r="G102" s="3" t="s">
        <v>257</v>
      </c>
      <c r="H102" s="3" t="s">
        <v>47</v>
      </c>
      <c r="I102" s="3" t="s">
        <v>114</v>
      </c>
      <c r="J102" s="3" t="s">
        <v>58</v>
      </c>
      <c r="K102" s="3" t="s">
        <v>258</v>
      </c>
      <c r="L102" s="32" t="s">
        <v>108</v>
      </c>
      <c r="M102" s="3" t="s">
        <v>47</v>
      </c>
      <c r="N102" s="3" t="s">
        <v>82</v>
      </c>
      <c r="O102" s="3" t="s">
        <v>450</v>
      </c>
      <c r="P102" s="3" t="s">
        <v>89</v>
      </c>
      <c r="Q102" s="3" t="s">
        <v>56</v>
      </c>
      <c r="R102" s="3" t="s">
        <v>47</v>
      </c>
      <c r="S102" s="3" t="s">
        <v>53</v>
      </c>
      <c r="T102" s="3" t="s">
        <v>53</v>
      </c>
      <c r="U102" s="3" t="s">
        <v>53</v>
      </c>
      <c r="V102" s="4" t="s">
        <v>481</v>
      </c>
      <c r="W102" s="28" t="n">
        <f aca="false">'Industries data'!AB31</f>
        <v>18.1806420135317</v>
      </c>
      <c r="AE102" s="34"/>
      <c r="AF102" s="2"/>
    </row>
    <row r="103" s="30" customFormat="true" ht="126" hidden="false" customHeight="false" outlineLevel="0" collapsed="false">
      <c r="A103" s="2"/>
      <c r="B103" s="2" t="s">
        <v>298</v>
      </c>
      <c r="C103" s="3" t="s">
        <v>291</v>
      </c>
      <c r="D103" s="3" t="n">
        <v>2015</v>
      </c>
      <c r="E103" s="20" t="s">
        <v>4</v>
      </c>
      <c r="F103" s="3" t="s">
        <v>51</v>
      </c>
      <c r="G103" s="3" t="s">
        <v>257</v>
      </c>
      <c r="H103" s="3" t="s">
        <v>47</v>
      </c>
      <c r="I103" s="3" t="s">
        <v>114</v>
      </c>
      <c r="J103" s="3" t="s">
        <v>58</v>
      </c>
      <c r="K103" s="3" t="s">
        <v>258</v>
      </c>
      <c r="L103" s="32" t="s">
        <v>108</v>
      </c>
      <c r="M103" s="3" t="s">
        <v>47</v>
      </c>
      <c r="N103" s="3" t="s">
        <v>82</v>
      </c>
      <c r="O103" s="3" t="s">
        <v>450</v>
      </c>
      <c r="P103" s="3" t="s">
        <v>89</v>
      </c>
      <c r="Q103" s="3" t="s">
        <v>56</v>
      </c>
      <c r="R103" s="3" t="s">
        <v>47</v>
      </c>
      <c r="S103" s="3" t="s">
        <v>53</v>
      </c>
      <c r="T103" s="3" t="s">
        <v>53</v>
      </c>
      <c r="U103" s="3" t="s">
        <v>53</v>
      </c>
      <c r="V103" s="4" t="s">
        <v>481</v>
      </c>
      <c r="W103" s="28" t="n">
        <f aca="false">'Industries data'!AB32</f>
        <v>17.6297134676671</v>
      </c>
      <c r="AE103" s="34"/>
      <c r="AF103" s="2"/>
    </row>
    <row r="104" s="30" customFormat="true" ht="126" hidden="false" customHeight="false" outlineLevel="0" collapsed="false">
      <c r="A104" s="2"/>
      <c r="B104" s="2" t="s">
        <v>299</v>
      </c>
      <c r="C104" s="3" t="s">
        <v>291</v>
      </c>
      <c r="D104" s="3" t="n">
        <v>2014</v>
      </c>
      <c r="E104" s="20" t="s">
        <v>4</v>
      </c>
      <c r="F104" s="3" t="s">
        <v>51</v>
      </c>
      <c r="G104" s="3" t="s">
        <v>257</v>
      </c>
      <c r="H104" s="3" t="s">
        <v>47</v>
      </c>
      <c r="I104" s="3" t="s">
        <v>114</v>
      </c>
      <c r="J104" s="3" t="s">
        <v>58</v>
      </c>
      <c r="K104" s="3" t="s">
        <v>258</v>
      </c>
      <c r="L104" s="32" t="s">
        <v>108</v>
      </c>
      <c r="M104" s="3" t="s">
        <v>47</v>
      </c>
      <c r="N104" s="3" t="s">
        <v>82</v>
      </c>
      <c r="O104" s="3" t="s">
        <v>450</v>
      </c>
      <c r="P104" s="3" t="s">
        <v>89</v>
      </c>
      <c r="Q104" s="3" t="s">
        <v>56</v>
      </c>
      <c r="R104" s="3" t="s">
        <v>47</v>
      </c>
      <c r="S104" s="3" t="s">
        <v>53</v>
      </c>
      <c r="T104" s="3" t="s">
        <v>53</v>
      </c>
      <c r="U104" s="3" t="s">
        <v>53</v>
      </c>
      <c r="V104" s="4" t="s">
        <v>481</v>
      </c>
      <c r="W104" s="28" t="n">
        <f aca="false">'Industries data'!AB33</f>
        <v>18.5479277107748</v>
      </c>
      <c r="AE104" s="34"/>
      <c r="AF104" s="2"/>
    </row>
    <row r="105" s="30" customFormat="true" ht="126" hidden="false" customHeight="false" outlineLevel="0" collapsed="false">
      <c r="A105" s="2"/>
      <c r="B105" s="2" t="s">
        <v>300</v>
      </c>
      <c r="C105" s="3" t="s">
        <v>291</v>
      </c>
      <c r="D105" s="3" t="n">
        <v>2013</v>
      </c>
      <c r="E105" s="20" t="s">
        <v>4</v>
      </c>
      <c r="F105" s="3" t="s">
        <v>51</v>
      </c>
      <c r="G105" s="3" t="s">
        <v>257</v>
      </c>
      <c r="H105" s="3" t="s">
        <v>47</v>
      </c>
      <c r="I105" s="3" t="s">
        <v>114</v>
      </c>
      <c r="J105" s="3" t="s">
        <v>58</v>
      </c>
      <c r="K105" s="3" t="s">
        <v>258</v>
      </c>
      <c r="L105" s="32" t="s">
        <v>108</v>
      </c>
      <c r="M105" s="3" t="s">
        <v>47</v>
      </c>
      <c r="N105" s="3" t="s">
        <v>82</v>
      </c>
      <c r="O105" s="3" t="s">
        <v>450</v>
      </c>
      <c r="P105" s="3" t="s">
        <v>89</v>
      </c>
      <c r="Q105" s="3" t="s">
        <v>56</v>
      </c>
      <c r="R105" s="3" t="s">
        <v>47</v>
      </c>
      <c r="S105" s="3" t="s">
        <v>53</v>
      </c>
      <c r="T105" s="3" t="s">
        <v>53</v>
      </c>
      <c r="U105" s="3" t="s">
        <v>53</v>
      </c>
      <c r="V105" s="4" t="s">
        <v>481</v>
      </c>
      <c r="W105" s="28" t="n">
        <f aca="false">'Industries data'!AB34</f>
        <v>18.7315705593963</v>
      </c>
      <c r="AE105" s="34"/>
      <c r="AF105" s="2"/>
    </row>
    <row r="106" s="30" customFormat="true" ht="126" hidden="false" customHeight="false" outlineLevel="0" collapsed="false">
      <c r="A106" s="2"/>
      <c r="B106" s="2" t="s">
        <v>301</v>
      </c>
      <c r="C106" s="3" t="s">
        <v>291</v>
      </c>
      <c r="D106" s="3" t="n">
        <v>2012</v>
      </c>
      <c r="E106" s="20" t="s">
        <v>4</v>
      </c>
      <c r="F106" s="3" t="s">
        <v>51</v>
      </c>
      <c r="G106" s="3" t="s">
        <v>257</v>
      </c>
      <c r="H106" s="3" t="s">
        <v>47</v>
      </c>
      <c r="I106" s="3" t="s">
        <v>114</v>
      </c>
      <c r="J106" s="3" t="s">
        <v>58</v>
      </c>
      <c r="K106" s="3" t="s">
        <v>258</v>
      </c>
      <c r="L106" s="32" t="s">
        <v>108</v>
      </c>
      <c r="M106" s="3" t="s">
        <v>47</v>
      </c>
      <c r="N106" s="3" t="s">
        <v>82</v>
      </c>
      <c r="O106" s="3" t="s">
        <v>450</v>
      </c>
      <c r="P106" s="3" t="s">
        <v>89</v>
      </c>
      <c r="Q106" s="3" t="s">
        <v>56</v>
      </c>
      <c r="R106" s="3" t="s">
        <v>47</v>
      </c>
      <c r="S106" s="3" t="s">
        <v>53</v>
      </c>
      <c r="T106" s="3" t="s">
        <v>53</v>
      </c>
      <c r="U106" s="3" t="s">
        <v>53</v>
      </c>
      <c r="V106" s="4" t="s">
        <v>481</v>
      </c>
      <c r="W106" s="28" t="n">
        <f aca="false">'Industries data'!AB35</f>
        <v>19.2824991052609</v>
      </c>
      <c r="AE106" s="34"/>
      <c r="AF106" s="2"/>
    </row>
    <row r="107" s="30" customFormat="true" ht="126" hidden="false" customHeight="false" outlineLevel="0" collapsed="false">
      <c r="A107" s="2"/>
      <c r="B107" s="2" t="s">
        <v>302</v>
      </c>
      <c r="C107" s="3" t="s">
        <v>291</v>
      </c>
      <c r="D107" s="3" t="n">
        <v>2011</v>
      </c>
      <c r="E107" s="20" t="s">
        <v>4</v>
      </c>
      <c r="F107" s="3" t="s">
        <v>51</v>
      </c>
      <c r="G107" s="3" t="s">
        <v>257</v>
      </c>
      <c r="H107" s="3" t="s">
        <v>47</v>
      </c>
      <c r="I107" s="3" t="s">
        <v>114</v>
      </c>
      <c r="J107" s="3" t="s">
        <v>58</v>
      </c>
      <c r="K107" s="3" t="s">
        <v>258</v>
      </c>
      <c r="L107" s="32" t="s">
        <v>108</v>
      </c>
      <c r="M107" s="3" t="s">
        <v>47</v>
      </c>
      <c r="N107" s="3" t="s">
        <v>82</v>
      </c>
      <c r="O107" s="3" t="s">
        <v>450</v>
      </c>
      <c r="P107" s="3" t="s">
        <v>89</v>
      </c>
      <c r="Q107" s="3" t="s">
        <v>56</v>
      </c>
      <c r="R107" s="3" t="s">
        <v>47</v>
      </c>
      <c r="S107" s="3" t="s">
        <v>53</v>
      </c>
      <c r="T107" s="3" t="s">
        <v>53</v>
      </c>
      <c r="U107" s="3" t="s">
        <v>53</v>
      </c>
      <c r="V107" s="4" t="s">
        <v>481</v>
      </c>
      <c r="W107" s="28" t="n">
        <f aca="false">'Industries data'!AB36</f>
        <v>18.9152134080178</v>
      </c>
      <c r="AE107" s="34"/>
      <c r="AF107" s="2"/>
    </row>
    <row r="108" s="47" customFormat="true" ht="15.75" hidden="false" customHeight="false" outlineLevel="0" collapsed="false">
      <c r="A108" s="40"/>
      <c r="B108" s="40"/>
      <c r="C108" s="42"/>
      <c r="D108" s="42"/>
      <c r="E108" s="43"/>
      <c r="F108" s="42"/>
      <c r="G108" s="42"/>
      <c r="H108" s="42"/>
      <c r="I108" s="42"/>
      <c r="J108" s="42"/>
      <c r="K108" s="42"/>
      <c r="L108" s="41"/>
      <c r="M108" s="42"/>
      <c r="N108" s="42"/>
      <c r="O108" s="42"/>
      <c r="P108" s="42"/>
      <c r="Q108" s="42"/>
      <c r="R108" s="42"/>
      <c r="S108" s="42"/>
      <c r="T108" s="42"/>
      <c r="U108" s="42"/>
      <c r="V108" s="44"/>
      <c r="W108" s="45"/>
      <c r="X108" s="40"/>
      <c r="Y108" s="40"/>
      <c r="Z108" s="40"/>
      <c r="AA108" s="40"/>
      <c r="AB108" s="40"/>
      <c r="AC108" s="40"/>
      <c r="AD108" s="40"/>
      <c r="AE108" s="40"/>
      <c r="AF108" s="40"/>
    </row>
    <row r="109" s="30" customFormat="true" ht="141.75" hidden="false" customHeight="false" outlineLevel="0" collapsed="false">
      <c r="A109" s="2"/>
      <c r="B109" s="2" t="s">
        <v>303</v>
      </c>
      <c r="C109" s="3" t="s">
        <v>303</v>
      </c>
      <c r="D109" s="3" t="n">
        <v>2020</v>
      </c>
      <c r="E109" s="20" t="s">
        <v>304</v>
      </c>
      <c r="F109" s="3" t="s">
        <v>51</v>
      </c>
      <c r="G109" s="3" t="s">
        <v>257</v>
      </c>
      <c r="H109" s="3" t="s">
        <v>47</v>
      </c>
      <c r="I109" s="3" t="s">
        <v>114</v>
      </c>
      <c r="J109" s="3" t="s">
        <v>258</v>
      </c>
      <c r="K109" s="3" t="s">
        <v>259</v>
      </c>
      <c r="L109" s="32" t="s">
        <v>108</v>
      </c>
      <c r="M109" s="3" t="s">
        <v>47</v>
      </c>
      <c r="N109" s="3" t="s">
        <v>82</v>
      </c>
      <c r="O109" s="3" t="s">
        <v>260</v>
      </c>
      <c r="P109" s="3" t="s">
        <v>89</v>
      </c>
      <c r="Q109" s="3" t="s">
        <v>56</v>
      </c>
      <c r="R109" s="3" t="s">
        <v>47</v>
      </c>
      <c r="S109" s="3" t="s">
        <v>53</v>
      </c>
      <c r="T109" s="3" t="s">
        <v>53</v>
      </c>
      <c r="U109" s="3" t="s">
        <v>53</v>
      </c>
      <c r="V109" s="4" t="s">
        <v>305</v>
      </c>
      <c r="W109" s="28" t="n">
        <f aca="false">'Industries data'!AB38</f>
        <v>21.0001194737886</v>
      </c>
      <c r="AE109" s="34"/>
      <c r="AF109" s="2"/>
    </row>
    <row r="110" s="30" customFormat="true" ht="141.75" hidden="false" customHeight="false" outlineLevel="0" collapsed="false">
      <c r="A110" s="2"/>
      <c r="B110" s="2" t="s">
        <v>303</v>
      </c>
      <c r="C110" s="3" t="s">
        <v>303</v>
      </c>
      <c r="D110" s="3" t="n">
        <v>2019</v>
      </c>
      <c r="E110" s="20" t="s">
        <v>306</v>
      </c>
      <c r="F110" s="3" t="s">
        <v>51</v>
      </c>
      <c r="G110" s="3" t="s">
        <v>257</v>
      </c>
      <c r="H110" s="3" t="s">
        <v>47</v>
      </c>
      <c r="I110" s="3" t="s">
        <v>114</v>
      </c>
      <c r="J110" s="3" t="s">
        <v>258</v>
      </c>
      <c r="K110" s="3" t="s">
        <v>259</v>
      </c>
      <c r="L110" s="32" t="s">
        <v>108</v>
      </c>
      <c r="M110" s="3" t="s">
        <v>47</v>
      </c>
      <c r="N110" s="3" t="s">
        <v>82</v>
      </c>
      <c r="O110" s="3" t="s">
        <v>260</v>
      </c>
      <c r="P110" s="3" t="s">
        <v>89</v>
      </c>
      <c r="Q110" s="3" t="s">
        <v>56</v>
      </c>
      <c r="R110" s="3" t="s">
        <v>47</v>
      </c>
      <c r="S110" s="3" t="s">
        <v>53</v>
      </c>
      <c r="T110" s="3" t="s">
        <v>53</v>
      </c>
      <c r="U110" s="3" t="s">
        <v>53</v>
      </c>
      <c r="V110" s="4" t="s">
        <v>305</v>
      </c>
      <c r="W110" s="28" t="n">
        <f aca="false">'Industries data'!AB39</f>
        <v>16.7826818233986</v>
      </c>
      <c r="AE110" s="34"/>
      <c r="AF110" s="2"/>
    </row>
    <row r="111" s="30" customFormat="true" ht="141.75" hidden="false" customHeight="false" outlineLevel="0" collapsed="false">
      <c r="A111" s="2"/>
      <c r="B111" s="2" t="s">
        <v>303</v>
      </c>
      <c r="C111" s="3" t="s">
        <v>303</v>
      </c>
      <c r="D111" s="3" t="n">
        <v>2018</v>
      </c>
      <c r="E111" s="20" t="s">
        <v>307</v>
      </c>
      <c r="F111" s="3" t="s">
        <v>51</v>
      </c>
      <c r="G111" s="3" t="s">
        <v>257</v>
      </c>
      <c r="H111" s="3" t="s">
        <v>47</v>
      </c>
      <c r="I111" s="3" t="s">
        <v>114</v>
      </c>
      <c r="J111" s="3" t="s">
        <v>258</v>
      </c>
      <c r="K111" s="3" t="s">
        <v>259</v>
      </c>
      <c r="L111" s="32" t="s">
        <v>108</v>
      </c>
      <c r="M111" s="3" t="s">
        <v>47</v>
      </c>
      <c r="N111" s="3" t="s">
        <v>82</v>
      </c>
      <c r="O111" s="3" t="s">
        <v>260</v>
      </c>
      <c r="P111" s="3" t="s">
        <v>89</v>
      </c>
      <c r="Q111" s="3" t="s">
        <v>56</v>
      </c>
      <c r="R111" s="3" t="s">
        <v>47</v>
      </c>
      <c r="S111" s="3" t="s">
        <v>53</v>
      </c>
      <c r="T111" s="3" t="s">
        <v>53</v>
      </c>
      <c r="U111" s="3" t="s">
        <v>53</v>
      </c>
      <c r="V111" s="4" t="s">
        <v>308</v>
      </c>
      <c r="W111" s="28" t="n">
        <f aca="false">'Industries data'!AB40</f>
        <v>17.0044734289437</v>
      </c>
      <c r="AE111" s="34"/>
      <c r="AF111" s="2"/>
    </row>
    <row r="112" s="30" customFormat="true" ht="141.75" hidden="false" customHeight="false" outlineLevel="0" collapsed="false">
      <c r="A112" s="2"/>
      <c r="B112" s="2" t="s">
        <v>303</v>
      </c>
      <c r="C112" s="3" t="s">
        <v>303</v>
      </c>
      <c r="D112" s="3" t="n">
        <v>2017</v>
      </c>
      <c r="E112" s="20" t="s">
        <v>309</v>
      </c>
      <c r="F112" s="3" t="s">
        <v>51</v>
      </c>
      <c r="G112" s="3" t="s">
        <v>257</v>
      </c>
      <c r="H112" s="3" t="s">
        <v>47</v>
      </c>
      <c r="I112" s="3" t="s">
        <v>114</v>
      </c>
      <c r="J112" s="3" t="s">
        <v>258</v>
      </c>
      <c r="K112" s="3" t="s">
        <v>259</v>
      </c>
      <c r="L112" s="32" t="s">
        <v>108</v>
      </c>
      <c r="M112" s="3" t="s">
        <v>47</v>
      </c>
      <c r="N112" s="3" t="s">
        <v>82</v>
      </c>
      <c r="O112" s="3" t="s">
        <v>260</v>
      </c>
      <c r="P112" s="3" t="s">
        <v>89</v>
      </c>
      <c r="Q112" s="3" t="s">
        <v>56</v>
      </c>
      <c r="R112" s="3" t="s">
        <v>47</v>
      </c>
      <c r="S112" s="3" t="s">
        <v>53</v>
      </c>
      <c r="T112" s="3" t="s">
        <v>53</v>
      </c>
      <c r="U112" s="3" t="s">
        <v>53</v>
      </c>
      <c r="V112" s="4" t="s">
        <v>308</v>
      </c>
      <c r="W112" s="28" t="n">
        <f aca="false">'Industries data'!AB41</f>
        <v>17.9934422645656</v>
      </c>
      <c r="AE112" s="34"/>
      <c r="AF112" s="2"/>
    </row>
    <row r="113" s="30" customFormat="true" ht="141.75" hidden="false" customHeight="false" outlineLevel="0" collapsed="false">
      <c r="A113" s="2"/>
      <c r="B113" s="2" t="s">
        <v>303</v>
      </c>
      <c r="C113" s="3" t="s">
        <v>303</v>
      </c>
      <c r="D113" s="3" t="n">
        <v>2016</v>
      </c>
      <c r="E113" s="20" t="s">
        <v>310</v>
      </c>
      <c r="F113" s="3" t="s">
        <v>51</v>
      </c>
      <c r="G113" s="3" t="s">
        <v>257</v>
      </c>
      <c r="H113" s="3" t="s">
        <v>47</v>
      </c>
      <c r="I113" s="3" t="s">
        <v>114</v>
      </c>
      <c r="J113" s="3" t="s">
        <v>258</v>
      </c>
      <c r="K113" s="3" t="s">
        <v>259</v>
      </c>
      <c r="L113" s="32" t="s">
        <v>108</v>
      </c>
      <c r="M113" s="3" t="s">
        <v>47</v>
      </c>
      <c r="N113" s="3" t="s">
        <v>82</v>
      </c>
      <c r="O113" s="3" t="s">
        <v>260</v>
      </c>
      <c r="P113" s="3" t="s">
        <v>89</v>
      </c>
      <c r="Q113" s="3" t="s">
        <v>56</v>
      </c>
      <c r="R113" s="3" t="s">
        <v>47</v>
      </c>
      <c r="S113" s="3" t="s">
        <v>53</v>
      </c>
      <c r="T113" s="3" t="s">
        <v>53</v>
      </c>
      <c r="U113" s="3" t="s">
        <v>53</v>
      </c>
      <c r="V113" s="4" t="s">
        <v>308</v>
      </c>
      <c r="W113" s="28" t="n">
        <f aca="false">'Industries data'!AB42</f>
        <v>18.0473067886413</v>
      </c>
      <c r="AE113" s="34"/>
      <c r="AF113" s="2"/>
    </row>
    <row r="114" s="47" customFormat="true" ht="15.75" hidden="false" customHeight="false" outlineLevel="0" collapsed="false">
      <c r="A114" s="40"/>
      <c r="B114" s="40"/>
      <c r="C114" s="42"/>
      <c r="D114" s="42"/>
      <c r="E114" s="43"/>
      <c r="F114" s="42"/>
      <c r="G114" s="42"/>
      <c r="H114" s="42"/>
      <c r="I114" s="42"/>
      <c r="J114" s="42"/>
      <c r="K114" s="42"/>
      <c r="L114" s="41"/>
      <c r="M114" s="42"/>
      <c r="N114" s="42"/>
      <c r="O114" s="42"/>
      <c r="P114" s="42"/>
      <c r="Q114" s="42"/>
      <c r="R114" s="42"/>
      <c r="S114" s="42"/>
      <c r="T114" s="42"/>
      <c r="U114" s="42"/>
      <c r="V114" s="44"/>
      <c r="W114" s="45"/>
      <c r="X114" s="40"/>
      <c r="Y114" s="40"/>
      <c r="Z114" s="40"/>
      <c r="AA114" s="40"/>
      <c r="AB114" s="40"/>
      <c r="AC114" s="40"/>
      <c r="AD114" s="40"/>
      <c r="AE114" s="40"/>
      <c r="AF114" s="40"/>
    </row>
    <row r="115" s="30" customFormat="true" ht="141.75" hidden="false" customHeight="false" outlineLevel="0" collapsed="false">
      <c r="A115" s="2"/>
      <c r="B115" s="2" t="s">
        <v>317</v>
      </c>
      <c r="C115" s="3" t="s">
        <v>317</v>
      </c>
      <c r="D115" s="3" t="n">
        <v>2020</v>
      </c>
      <c r="E115" s="20" t="s">
        <v>318</v>
      </c>
      <c r="F115" s="3" t="s">
        <v>51</v>
      </c>
      <c r="G115" s="3" t="s">
        <v>257</v>
      </c>
      <c r="H115" s="3" t="s">
        <v>47</v>
      </c>
      <c r="I115" s="3" t="s">
        <v>114</v>
      </c>
      <c r="J115" s="3" t="s">
        <v>258</v>
      </c>
      <c r="K115" s="3" t="s">
        <v>259</v>
      </c>
      <c r="L115" s="32" t="s">
        <v>108</v>
      </c>
      <c r="M115" s="3" t="s">
        <v>47</v>
      </c>
      <c r="N115" s="3" t="s">
        <v>82</v>
      </c>
      <c r="O115" s="3" t="s">
        <v>319</v>
      </c>
      <c r="P115" s="3" t="s">
        <v>89</v>
      </c>
      <c r="Q115" s="3" t="s">
        <v>56</v>
      </c>
      <c r="R115" s="3" t="s">
        <v>47</v>
      </c>
      <c r="S115" s="3" t="s">
        <v>53</v>
      </c>
      <c r="T115" s="3" t="s">
        <v>53</v>
      </c>
      <c r="U115" s="3" t="s">
        <v>53</v>
      </c>
      <c r="V115" s="4" t="s">
        <v>320</v>
      </c>
      <c r="W115" s="28" t="n">
        <f aca="false">'Industries data'!AB49</f>
        <v>18.9961486036968</v>
      </c>
      <c r="AE115" s="34"/>
      <c r="AF115" s="2"/>
    </row>
    <row r="116" s="30" customFormat="true" ht="141.75" hidden="false" customHeight="false" outlineLevel="0" collapsed="false">
      <c r="A116" s="2"/>
      <c r="B116" s="2" t="s">
        <v>317</v>
      </c>
      <c r="C116" s="3" t="s">
        <v>317</v>
      </c>
      <c r="D116" s="3" t="n">
        <v>2019</v>
      </c>
      <c r="E116" s="20" t="s">
        <v>321</v>
      </c>
      <c r="F116" s="3" t="s">
        <v>51</v>
      </c>
      <c r="G116" s="3" t="s">
        <v>257</v>
      </c>
      <c r="H116" s="3" t="s">
        <v>47</v>
      </c>
      <c r="I116" s="3" t="s">
        <v>114</v>
      </c>
      <c r="J116" s="3" t="s">
        <v>258</v>
      </c>
      <c r="K116" s="3" t="s">
        <v>259</v>
      </c>
      <c r="L116" s="32" t="s">
        <v>108</v>
      </c>
      <c r="M116" s="3" t="s">
        <v>47</v>
      </c>
      <c r="N116" s="3" t="s">
        <v>82</v>
      </c>
      <c r="O116" s="3" t="s">
        <v>319</v>
      </c>
      <c r="P116" s="3" t="s">
        <v>89</v>
      </c>
      <c r="Q116" s="3" t="s">
        <v>56</v>
      </c>
      <c r="R116" s="3" t="s">
        <v>47</v>
      </c>
      <c r="S116" s="3" t="s">
        <v>53</v>
      </c>
      <c r="T116" s="3" t="s">
        <v>53</v>
      </c>
      <c r="U116" s="3" t="s">
        <v>53</v>
      </c>
      <c r="V116" s="4" t="s">
        <v>320</v>
      </c>
      <c r="W116" s="28" t="n">
        <f aca="false">'Industries data'!AB50</f>
        <v>21.9207718380374</v>
      </c>
      <c r="AE116" s="34"/>
      <c r="AF116" s="2"/>
    </row>
    <row r="117" s="30" customFormat="true" ht="141.75" hidden="false" customHeight="false" outlineLevel="0" collapsed="false">
      <c r="A117" s="2"/>
      <c r="B117" s="2" t="s">
        <v>317</v>
      </c>
      <c r="C117" s="3" t="s">
        <v>317</v>
      </c>
      <c r="D117" s="3" t="n">
        <v>2018</v>
      </c>
      <c r="E117" s="20" t="s">
        <v>322</v>
      </c>
      <c r="F117" s="3" t="s">
        <v>51</v>
      </c>
      <c r="G117" s="3" t="s">
        <v>257</v>
      </c>
      <c r="H117" s="3" t="s">
        <v>47</v>
      </c>
      <c r="I117" s="3" t="s">
        <v>114</v>
      </c>
      <c r="J117" s="3" t="s">
        <v>258</v>
      </c>
      <c r="K117" s="3" t="s">
        <v>259</v>
      </c>
      <c r="L117" s="32" t="s">
        <v>108</v>
      </c>
      <c r="M117" s="3" t="s">
        <v>47</v>
      </c>
      <c r="N117" s="3" t="s">
        <v>82</v>
      </c>
      <c r="O117" s="3" t="s">
        <v>319</v>
      </c>
      <c r="P117" s="3" t="s">
        <v>89</v>
      </c>
      <c r="Q117" s="3" t="s">
        <v>56</v>
      </c>
      <c r="R117" s="3" t="s">
        <v>47</v>
      </c>
      <c r="S117" s="3" t="s">
        <v>53</v>
      </c>
      <c r="T117" s="3" t="s">
        <v>53</v>
      </c>
      <c r="U117" s="3" t="s">
        <v>53</v>
      </c>
      <c r="V117" s="4" t="s">
        <v>323</v>
      </c>
      <c r="W117" s="28" t="n">
        <f aca="false">'Industries data'!AB51</f>
        <v>20.0550225833109</v>
      </c>
      <c r="AE117" s="34"/>
      <c r="AF117" s="2"/>
    </row>
    <row r="118" s="30" customFormat="true" ht="141.75" hidden="false" customHeight="false" outlineLevel="0" collapsed="false">
      <c r="A118" s="2"/>
      <c r="B118" s="2" t="s">
        <v>317</v>
      </c>
      <c r="C118" s="3" t="s">
        <v>317</v>
      </c>
      <c r="D118" s="3" t="n">
        <v>2017</v>
      </c>
      <c r="E118" s="20" t="s">
        <v>324</v>
      </c>
      <c r="F118" s="3" t="s">
        <v>51</v>
      </c>
      <c r="G118" s="3" t="s">
        <v>257</v>
      </c>
      <c r="H118" s="3" t="s">
        <v>47</v>
      </c>
      <c r="I118" s="3" t="s">
        <v>114</v>
      </c>
      <c r="J118" s="3" t="s">
        <v>258</v>
      </c>
      <c r="K118" s="3" t="s">
        <v>259</v>
      </c>
      <c r="L118" s="32" t="s">
        <v>108</v>
      </c>
      <c r="M118" s="3" t="s">
        <v>47</v>
      </c>
      <c r="N118" s="3" t="s">
        <v>82</v>
      </c>
      <c r="O118" s="3" t="s">
        <v>319</v>
      </c>
      <c r="P118" s="3" t="s">
        <v>89</v>
      </c>
      <c r="Q118" s="3" t="s">
        <v>56</v>
      </c>
      <c r="R118" s="3" t="s">
        <v>47</v>
      </c>
      <c r="S118" s="3" t="s">
        <v>53</v>
      </c>
      <c r="T118" s="3" t="s">
        <v>53</v>
      </c>
      <c r="U118" s="3" t="s">
        <v>53</v>
      </c>
      <c r="V118" s="4" t="s">
        <v>325</v>
      </c>
      <c r="W118" s="28" t="n">
        <f aca="false">'Industries data'!AB52</f>
        <v>22.1240999900195</v>
      </c>
      <c r="AE118" s="34"/>
      <c r="AF118" s="2"/>
    </row>
    <row r="119" s="30" customFormat="true" ht="141.75" hidden="false" customHeight="false" outlineLevel="0" collapsed="false">
      <c r="A119" s="2"/>
      <c r="B119" s="2" t="s">
        <v>317</v>
      </c>
      <c r="C119" s="3" t="s">
        <v>317</v>
      </c>
      <c r="D119" s="3" t="n">
        <v>2016</v>
      </c>
      <c r="E119" s="20" t="s">
        <v>326</v>
      </c>
      <c r="F119" s="3" t="s">
        <v>51</v>
      </c>
      <c r="G119" s="3" t="s">
        <v>257</v>
      </c>
      <c r="H119" s="3" t="s">
        <v>47</v>
      </c>
      <c r="I119" s="3" t="s">
        <v>114</v>
      </c>
      <c r="J119" s="3" t="s">
        <v>258</v>
      </c>
      <c r="K119" s="3" t="s">
        <v>259</v>
      </c>
      <c r="L119" s="32" t="s">
        <v>108</v>
      </c>
      <c r="M119" s="3" t="s">
        <v>47</v>
      </c>
      <c r="N119" s="3" t="s">
        <v>82</v>
      </c>
      <c r="O119" s="3" t="s">
        <v>319</v>
      </c>
      <c r="P119" s="3" t="s">
        <v>89</v>
      </c>
      <c r="Q119" s="3" t="s">
        <v>56</v>
      </c>
      <c r="R119" s="3" t="s">
        <v>47</v>
      </c>
      <c r="S119" s="3" t="s">
        <v>53</v>
      </c>
      <c r="T119" s="3" t="s">
        <v>53</v>
      </c>
      <c r="U119" s="3" t="s">
        <v>53</v>
      </c>
      <c r="V119" s="4" t="s">
        <v>325</v>
      </c>
      <c r="W119" s="28" t="n">
        <f aca="false">'Industries data'!AB53</f>
        <v>24.1643279920884</v>
      </c>
      <c r="AE119" s="34"/>
      <c r="AF119" s="2"/>
    </row>
    <row r="120" s="30" customFormat="true" ht="141.75" hidden="false" customHeight="false" outlineLevel="0" collapsed="false">
      <c r="A120" s="2"/>
      <c r="B120" s="2" t="s">
        <v>317</v>
      </c>
      <c r="C120" s="3" t="s">
        <v>317</v>
      </c>
      <c r="D120" s="3" t="n">
        <v>2015</v>
      </c>
      <c r="E120" s="20" t="s">
        <v>326</v>
      </c>
      <c r="F120" s="3" t="s">
        <v>51</v>
      </c>
      <c r="G120" s="3" t="s">
        <v>257</v>
      </c>
      <c r="H120" s="3" t="s">
        <v>47</v>
      </c>
      <c r="I120" s="3" t="s">
        <v>114</v>
      </c>
      <c r="J120" s="3" t="s">
        <v>258</v>
      </c>
      <c r="K120" s="3" t="s">
        <v>259</v>
      </c>
      <c r="L120" s="32" t="s">
        <v>108</v>
      </c>
      <c r="M120" s="3" t="s">
        <v>47</v>
      </c>
      <c r="N120" s="3" t="s">
        <v>82</v>
      </c>
      <c r="O120" s="3" t="s">
        <v>319</v>
      </c>
      <c r="P120" s="3" t="s">
        <v>89</v>
      </c>
      <c r="Q120" s="3" t="s">
        <v>56</v>
      </c>
      <c r="R120" s="3" t="s">
        <v>47</v>
      </c>
      <c r="S120" s="3" t="s">
        <v>53</v>
      </c>
      <c r="T120" s="3" t="s">
        <v>53</v>
      </c>
      <c r="U120" s="3" t="s">
        <v>53</v>
      </c>
      <c r="V120" s="4" t="s">
        <v>325</v>
      </c>
      <c r="W120" s="28" t="n">
        <f aca="false">'Industries data'!AB54</f>
        <v>26.0396094867085</v>
      </c>
      <c r="AE120" s="34"/>
      <c r="AF120" s="2"/>
    </row>
    <row r="121" s="30" customFormat="true" ht="141.75" hidden="false" customHeight="false" outlineLevel="0" collapsed="false">
      <c r="A121" s="2"/>
      <c r="B121" s="2" t="s">
        <v>317</v>
      </c>
      <c r="C121" s="3" t="s">
        <v>317</v>
      </c>
      <c r="D121" s="3" t="n">
        <v>2014</v>
      </c>
      <c r="E121" s="20" t="s">
        <v>327</v>
      </c>
      <c r="F121" s="3" t="s">
        <v>51</v>
      </c>
      <c r="G121" s="3" t="s">
        <v>257</v>
      </c>
      <c r="H121" s="3" t="s">
        <v>47</v>
      </c>
      <c r="I121" s="3" t="s">
        <v>114</v>
      </c>
      <c r="J121" s="3" t="s">
        <v>258</v>
      </c>
      <c r="K121" s="3" t="s">
        <v>259</v>
      </c>
      <c r="L121" s="32" t="s">
        <v>108</v>
      </c>
      <c r="M121" s="3" t="s">
        <v>47</v>
      </c>
      <c r="N121" s="3" t="s">
        <v>82</v>
      </c>
      <c r="O121" s="3" t="s">
        <v>319</v>
      </c>
      <c r="P121" s="3" t="s">
        <v>89</v>
      </c>
      <c r="Q121" s="3" t="s">
        <v>56</v>
      </c>
      <c r="R121" s="3" t="s">
        <v>47</v>
      </c>
      <c r="S121" s="3" t="s">
        <v>53</v>
      </c>
      <c r="T121" s="3" t="s">
        <v>53</v>
      </c>
      <c r="U121" s="3" t="s">
        <v>53</v>
      </c>
      <c r="V121" s="4" t="s">
        <v>328</v>
      </c>
      <c r="W121" s="28" t="n">
        <f aca="false">'Industries data'!AB55</f>
        <v>22.0555944450789</v>
      </c>
      <c r="AE121" s="34"/>
      <c r="AF121" s="2"/>
    </row>
    <row r="122" s="30" customFormat="true" ht="141.75" hidden="false" customHeight="false" outlineLevel="0" collapsed="false">
      <c r="A122" s="2"/>
      <c r="B122" s="2" t="s">
        <v>317</v>
      </c>
      <c r="C122" s="3" t="s">
        <v>317</v>
      </c>
      <c r="D122" s="3" t="n">
        <v>2013</v>
      </c>
      <c r="E122" s="20" t="s">
        <v>327</v>
      </c>
      <c r="F122" s="3" t="s">
        <v>51</v>
      </c>
      <c r="G122" s="3" t="s">
        <v>257</v>
      </c>
      <c r="H122" s="3" t="s">
        <v>47</v>
      </c>
      <c r="I122" s="3" t="s">
        <v>114</v>
      </c>
      <c r="J122" s="3" t="s">
        <v>258</v>
      </c>
      <c r="K122" s="3" t="s">
        <v>259</v>
      </c>
      <c r="L122" s="32" t="s">
        <v>108</v>
      </c>
      <c r="M122" s="3" t="s">
        <v>47</v>
      </c>
      <c r="N122" s="3" t="s">
        <v>82</v>
      </c>
      <c r="O122" s="3" t="s">
        <v>319</v>
      </c>
      <c r="P122" s="3" t="s">
        <v>89</v>
      </c>
      <c r="Q122" s="3" t="s">
        <v>56</v>
      </c>
      <c r="R122" s="3" t="s">
        <v>47</v>
      </c>
      <c r="S122" s="3" t="s">
        <v>53</v>
      </c>
      <c r="T122" s="3" t="s">
        <v>53</v>
      </c>
      <c r="U122" s="3" t="s">
        <v>53</v>
      </c>
      <c r="V122" s="4" t="s">
        <v>328</v>
      </c>
      <c r="W122" s="28" t="n">
        <f aca="false">'Industries data'!AB56</f>
        <v>18.4399125085686</v>
      </c>
      <c r="AE122" s="34"/>
      <c r="AF122" s="2"/>
    </row>
    <row r="123" s="30" customFormat="true" ht="141.75" hidden="false" customHeight="false" outlineLevel="0" collapsed="false">
      <c r="A123" s="2"/>
      <c r="B123" s="2" t="s">
        <v>317</v>
      </c>
      <c r="C123" s="3" t="s">
        <v>317</v>
      </c>
      <c r="D123" s="3" t="n">
        <v>2012</v>
      </c>
      <c r="E123" s="20" t="s">
        <v>329</v>
      </c>
      <c r="F123" s="3" t="s">
        <v>51</v>
      </c>
      <c r="G123" s="3" t="s">
        <v>257</v>
      </c>
      <c r="H123" s="3" t="s">
        <v>47</v>
      </c>
      <c r="I123" s="3" t="s">
        <v>114</v>
      </c>
      <c r="J123" s="3" t="s">
        <v>258</v>
      </c>
      <c r="K123" s="3" t="s">
        <v>259</v>
      </c>
      <c r="L123" s="32" t="s">
        <v>108</v>
      </c>
      <c r="M123" s="3" t="s">
        <v>47</v>
      </c>
      <c r="N123" s="3" t="s">
        <v>82</v>
      </c>
      <c r="O123" s="3" t="s">
        <v>319</v>
      </c>
      <c r="P123" s="3" t="s">
        <v>89</v>
      </c>
      <c r="Q123" s="3" t="s">
        <v>56</v>
      </c>
      <c r="R123" s="3" t="s">
        <v>47</v>
      </c>
      <c r="S123" s="3" t="s">
        <v>53</v>
      </c>
      <c r="T123" s="3" t="s">
        <v>53</v>
      </c>
      <c r="U123" s="3" t="s">
        <v>53</v>
      </c>
      <c r="V123" s="4" t="s">
        <v>330</v>
      </c>
      <c r="W123" s="28" t="n">
        <f aca="false">'Industries data'!AB57</f>
        <v>16.9692495849621</v>
      </c>
      <c r="AE123" s="34"/>
      <c r="AF123" s="2"/>
    </row>
    <row r="124" s="30" customFormat="true" ht="141.75" hidden="false" customHeight="false" outlineLevel="0" collapsed="false">
      <c r="A124" s="2"/>
      <c r="B124" s="2" t="s">
        <v>317</v>
      </c>
      <c r="C124" s="3" t="s">
        <v>317</v>
      </c>
      <c r="D124" s="3" t="n">
        <v>2011</v>
      </c>
      <c r="E124" s="20" t="s">
        <v>329</v>
      </c>
      <c r="F124" s="3" t="s">
        <v>51</v>
      </c>
      <c r="G124" s="3" t="s">
        <v>257</v>
      </c>
      <c r="H124" s="3" t="s">
        <v>47</v>
      </c>
      <c r="I124" s="3" t="s">
        <v>114</v>
      </c>
      <c r="J124" s="3" t="s">
        <v>258</v>
      </c>
      <c r="K124" s="3" t="s">
        <v>259</v>
      </c>
      <c r="L124" s="32" t="s">
        <v>108</v>
      </c>
      <c r="M124" s="3" t="s">
        <v>47</v>
      </c>
      <c r="N124" s="3" t="s">
        <v>82</v>
      </c>
      <c r="O124" s="3" t="s">
        <v>319</v>
      </c>
      <c r="P124" s="3" t="s">
        <v>89</v>
      </c>
      <c r="Q124" s="3" t="s">
        <v>56</v>
      </c>
      <c r="R124" s="3" t="s">
        <v>47</v>
      </c>
      <c r="S124" s="3" t="s">
        <v>53</v>
      </c>
      <c r="T124" s="3" t="s">
        <v>53</v>
      </c>
      <c r="U124" s="3" t="s">
        <v>53</v>
      </c>
      <c r="V124" s="4" t="s">
        <v>328</v>
      </c>
      <c r="W124" s="28" t="n">
        <f aca="false">'Industries data'!AB58</f>
        <v>15.3993604447719</v>
      </c>
      <c r="AE124" s="34"/>
      <c r="AF124" s="2"/>
    </row>
    <row r="125" s="51" customFormat="true" ht="15.75" hidden="false" customHeight="false" outlineLevel="0" collapsed="false">
      <c r="A125" s="74"/>
      <c r="B125" s="74"/>
      <c r="C125" s="73"/>
      <c r="D125" s="73"/>
      <c r="E125" s="83"/>
      <c r="F125" s="73"/>
      <c r="G125" s="73"/>
      <c r="H125" s="73"/>
      <c r="I125" s="73"/>
      <c r="J125" s="73"/>
      <c r="K125" s="73"/>
      <c r="L125" s="73"/>
      <c r="M125" s="73"/>
      <c r="N125" s="73"/>
      <c r="O125" s="73"/>
      <c r="P125" s="73"/>
      <c r="Q125" s="73"/>
      <c r="R125" s="73"/>
      <c r="S125" s="73"/>
      <c r="T125" s="73"/>
      <c r="U125" s="73"/>
      <c r="V125" s="74"/>
      <c r="W125" s="75"/>
      <c r="AE125" s="82"/>
      <c r="AF125" s="50"/>
    </row>
    <row r="126" s="30" customFormat="true" ht="63" hidden="false" customHeight="false" outlineLevel="0" collapsed="false">
      <c r="A126" s="2"/>
      <c r="B126" s="2" t="s">
        <v>331</v>
      </c>
      <c r="C126" s="3" t="s">
        <v>332</v>
      </c>
      <c r="D126" s="32" t="n">
        <v>2013</v>
      </c>
      <c r="E126" s="20" t="s">
        <v>333</v>
      </c>
      <c r="F126" s="3" t="s">
        <v>57</v>
      </c>
      <c r="G126" s="32" t="s">
        <v>75</v>
      </c>
      <c r="H126" s="32" t="s">
        <v>47</v>
      </c>
      <c r="I126" s="32" t="s">
        <v>114</v>
      </c>
      <c r="J126" s="32" t="s">
        <v>75</v>
      </c>
      <c r="K126" s="32" t="n">
        <v>300</v>
      </c>
      <c r="L126" s="32" t="s">
        <v>114</v>
      </c>
      <c r="M126" s="32" t="s">
        <v>78</v>
      </c>
      <c r="N126" s="32" t="s">
        <v>75</v>
      </c>
      <c r="O126" s="32" t="s">
        <v>75</v>
      </c>
      <c r="P126" s="32" t="s">
        <v>89</v>
      </c>
      <c r="Q126" s="32" t="s">
        <v>75</v>
      </c>
      <c r="R126" s="32" t="s">
        <v>75</v>
      </c>
      <c r="S126" s="32" t="s">
        <v>482</v>
      </c>
      <c r="T126" s="32" t="s">
        <v>53</v>
      </c>
      <c r="U126" s="32" t="s">
        <v>47</v>
      </c>
      <c r="V126" s="4" t="s">
        <v>483</v>
      </c>
      <c r="W126" s="28" t="n">
        <f aca="false">'ITRS data'!AC21</f>
        <v>14.3</v>
      </c>
      <c r="X126" s="2"/>
      <c r="Y126" s="2"/>
      <c r="Z126" s="2"/>
      <c r="AA126" s="2"/>
      <c r="AB126" s="2"/>
      <c r="AC126" s="2"/>
      <c r="AD126" s="2"/>
      <c r="AE126" s="2"/>
      <c r="AF126" s="2"/>
    </row>
    <row r="127" s="30" customFormat="true" ht="63" hidden="false" customHeight="false" outlineLevel="0" collapsed="false">
      <c r="A127" s="2"/>
      <c r="B127" s="2" t="s">
        <v>331</v>
      </c>
      <c r="C127" s="3" t="s">
        <v>332</v>
      </c>
      <c r="D127" s="32" t="n">
        <v>2014</v>
      </c>
      <c r="E127" s="20" t="s">
        <v>333</v>
      </c>
      <c r="F127" s="3" t="s">
        <v>57</v>
      </c>
      <c r="G127" s="32" t="s">
        <v>75</v>
      </c>
      <c r="H127" s="32" t="s">
        <v>47</v>
      </c>
      <c r="I127" s="32" t="s">
        <v>114</v>
      </c>
      <c r="J127" s="32" t="s">
        <v>75</v>
      </c>
      <c r="K127" s="32" t="n">
        <v>300</v>
      </c>
      <c r="L127" s="32" t="s">
        <v>114</v>
      </c>
      <c r="M127" s="32" t="s">
        <v>78</v>
      </c>
      <c r="N127" s="32" t="s">
        <v>75</v>
      </c>
      <c r="O127" s="32" t="s">
        <v>75</v>
      </c>
      <c r="P127" s="32" t="s">
        <v>89</v>
      </c>
      <c r="Q127" s="32" t="s">
        <v>75</v>
      </c>
      <c r="R127" s="32" t="s">
        <v>75</v>
      </c>
      <c r="S127" s="32" t="s">
        <v>482</v>
      </c>
      <c r="T127" s="32" t="s">
        <v>53</v>
      </c>
      <c r="U127" s="32" t="s">
        <v>47</v>
      </c>
      <c r="V127" s="4" t="s">
        <v>483</v>
      </c>
      <c r="W127" s="28" t="n">
        <f aca="false">'ITRS data'!AC22</f>
        <v>14.3</v>
      </c>
      <c r="X127" s="2"/>
      <c r="Y127" s="2"/>
      <c r="Z127" s="2"/>
      <c r="AA127" s="2"/>
      <c r="AB127" s="2"/>
      <c r="AC127" s="2"/>
      <c r="AD127" s="2"/>
      <c r="AE127" s="2"/>
      <c r="AF127" s="2"/>
    </row>
    <row r="128" s="30" customFormat="true" ht="63" hidden="false" customHeight="false" outlineLevel="0" collapsed="false">
      <c r="A128" s="2"/>
      <c r="B128" s="2" t="s">
        <v>331</v>
      </c>
      <c r="C128" s="3" t="s">
        <v>332</v>
      </c>
      <c r="D128" s="32" t="n">
        <v>2015</v>
      </c>
      <c r="E128" s="20" t="s">
        <v>333</v>
      </c>
      <c r="F128" s="3" t="s">
        <v>57</v>
      </c>
      <c r="G128" s="32" t="s">
        <v>75</v>
      </c>
      <c r="H128" s="32" t="s">
        <v>47</v>
      </c>
      <c r="I128" s="32" t="s">
        <v>114</v>
      </c>
      <c r="J128" s="32" t="s">
        <v>75</v>
      </c>
      <c r="K128" s="32" t="n">
        <v>300</v>
      </c>
      <c r="L128" s="32" t="s">
        <v>114</v>
      </c>
      <c r="M128" s="32" t="s">
        <v>78</v>
      </c>
      <c r="N128" s="32" t="s">
        <v>75</v>
      </c>
      <c r="O128" s="32" t="s">
        <v>75</v>
      </c>
      <c r="P128" s="32" t="s">
        <v>89</v>
      </c>
      <c r="Q128" s="32" t="s">
        <v>75</v>
      </c>
      <c r="R128" s="32" t="s">
        <v>75</v>
      </c>
      <c r="S128" s="32" t="s">
        <v>482</v>
      </c>
      <c r="T128" s="32" t="s">
        <v>53</v>
      </c>
      <c r="U128" s="32" t="s">
        <v>47</v>
      </c>
      <c r="V128" s="4" t="s">
        <v>483</v>
      </c>
      <c r="W128" s="28" t="n">
        <f aca="false">'ITRS data'!AC23</f>
        <v>13.8</v>
      </c>
      <c r="X128" s="2"/>
      <c r="Y128" s="2"/>
      <c r="Z128" s="2"/>
      <c r="AA128" s="2"/>
      <c r="AB128" s="2"/>
      <c r="AC128" s="2"/>
      <c r="AD128" s="2"/>
      <c r="AE128" s="2"/>
      <c r="AF128" s="2"/>
    </row>
    <row r="129" s="30" customFormat="true" ht="63" hidden="false" customHeight="false" outlineLevel="0" collapsed="false">
      <c r="A129" s="2"/>
      <c r="B129" s="2" t="s">
        <v>331</v>
      </c>
      <c r="C129" s="3" t="s">
        <v>332</v>
      </c>
      <c r="D129" s="32" t="n">
        <v>2016</v>
      </c>
      <c r="E129" s="20" t="s">
        <v>333</v>
      </c>
      <c r="F129" s="3" t="s">
        <v>57</v>
      </c>
      <c r="G129" s="32" t="s">
        <v>75</v>
      </c>
      <c r="H129" s="32" t="s">
        <v>47</v>
      </c>
      <c r="I129" s="32" t="s">
        <v>114</v>
      </c>
      <c r="J129" s="32" t="s">
        <v>75</v>
      </c>
      <c r="K129" s="32" t="n">
        <v>300</v>
      </c>
      <c r="L129" s="32" t="s">
        <v>114</v>
      </c>
      <c r="M129" s="32" t="s">
        <v>78</v>
      </c>
      <c r="N129" s="32" t="s">
        <v>75</v>
      </c>
      <c r="O129" s="32" t="s">
        <v>75</v>
      </c>
      <c r="P129" s="32" t="s">
        <v>89</v>
      </c>
      <c r="Q129" s="32" t="s">
        <v>75</v>
      </c>
      <c r="R129" s="32" t="s">
        <v>75</v>
      </c>
      <c r="S129" s="32" t="s">
        <v>482</v>
      </c>
      <c r="T129" s="32" t="s">
        <v>53</v>
      </c>
      <c r="U129" s="32" t="s">
        <v>47</v>
      </c>
      <c r="V129" s="4" t="s">
        <v>483</v>
      </c>
      <c r="W129" s="28" t="n">
        <f aca="false">'ITRS data'!AC24</f>
        <v>13</v>
      </c>
      <c r="X129" s="2"/>
      <c r="Y129" s="2"/>
      <c r="Z129" s="2"/>
      <c r="AA129" s="2"/>
      <c r="AB129" s="2"/>
      <c r="AC129" s="2"/>
      <c r="AD129" s="2"/>
      <c r="AE129" s="2"/>
      <c r="AF129" s="2"/>
    </row>
    <row r="130" s="30" customFormat="true" ht="63" hidden="false" customHeight="false" outlineLevel="0" collapsed="false">
      <c r="A130" s="2"/>
      <c r="B130" s="2" t="s">
        <v>331</v>
      </c>
      <c r="C130" s="3" t="s">
        <v>332</v>
      </c>
      <c r="D130" s="32" t="n">
        <v>2017</v>
      </c>
      <c r="E130" s="20" t="s">
        <v>333</v>
      </c>
      <c r="F130" s="3" t="s">
        <v>57</v>
      </c>
      <c r="G130" s="32" t="s">
        <v>75</v>
      </c>
      <c r="H130" s="32" t="s">
        <v>47</v>
      </c>
      <c r="I130" s="32" t="s">
        <v>114</v>
      </c>
      <c r="J130" s="32" t="s">
        <v>75</v>
      </c>
      <c r="K130" s="32" t="n">
        <v>300</v>
      </c>
      <c r="L130" s="32" t="s">
        <v>114</v>
      </c>
      <c r="M130" s="32" t="s">
        <v>78</v>
      </c>
      <c r="N130" s="32" t="s">
        <v>75</v>
      </c>
      <c r="O130" s="32" t="s">
        <v>75</v>
      </c>
      <c r="P130" s="32" t="s">
        <v>89</v>
      </c>
      <c r="Q130" s="32" t="s">
        <v>75</v>
      </c>
      <c r="R130" s="32" t="s">
        <v>75</v>
      </c>
      <c r="S130" s="32" t="s">
        <v>482</v>
      </c>
      <c r="T130" s="32" t="s">
        <v>53</v>
      </c>
      <c r="U130" s="32" t="s">
        <v>47</v>
      </c>
      <c r="V130" s="4" t="s">
        <v>483</v>
      </c>
      <c r="W130" s="28" t="n">
        <f aca="false">'ITRS data'!AC25</f>
        <v>12.4</v>
      </c>
      <c r="X130" s="2"/>
      <c r="Y130" s="2"/>
      <c r="Z130" s="2"/>
      <c r="AA130" s="2"/>
      <c r="AB130" s="2"/>
      <c r="AC130" s="2"/>
      <c r="AD130" s="2"/>
      <c r="AE130" s="2"/>
      <c r="AF130" s="2"/>
    </row>
    <row r="131" s="30" customFormat="true" ht="63" hidden="false" customHeight="false" outlineLevel="0" collapsed="false">
      <c r="A131" s="2"/>
      <c r="B131" s="2" t="s">
        <v>331</v>
      </c>
      <c r="C131" s="3" t="s">
        <v>332</v>
      </c>
      <c r="D131" s="32" t="n">
        <v>2018</v>
      </c>
      <c r="E131" s="20" t="s">
        <v>333</v>
      </c>
      <c r="F131" s="3" t="s">
        <v>57</v>
      </c>
      <c r="G131" s="32" t="s">
        <v>75</v>
      </c>
      <c r="H131" s="32" t="s">
        <v>47</v>
      </c>
      <c r="I131" s="32" t="s">
        <v>114</v>
      </c>
      <c r="J131" s="32" t="s">
        <v>75</v>
      </c>
      <c r="K131" s="32" t="n">
        <v>300</v>
      </c>
      <c r="L131" s="32" t="s">
        <v>114</v>
      </c>
      <c r="M131" s="32" t="s">
        <v>78</v>
      </c>
      <c r="N131" s="32" t="s">
        <v>75</v>
      </c>
      <c r="O131" s="32" t="s">
        <v>75</v>
      </c>
      <c r="P131" s="32" t="s">
        <v>89</v>
      </c>
      <c r="Q131" s="32" t="s">
        <v>75</v>
      </c>
      <c r="R131" s="32" t="s">
        <v>75</v>
      </c>
      <c r="S131" s="32" t="s">
        <v>482</v>
      </c>
      <c r="T131" s="32" t="s">
        <v>53</v>
      </c>
      <c r="U131" s="32" t="s">
        <v>47</v>
      </c>
      <c r="V131" s="4" t="s">
        <v>483</v>
      </c>
      <c r="W131" s="28" t="n">
        <f aca="false">'ITRS data'!AC26</f>
        <v>12.4</v>
      </c>
      <c r="X131" s="2"/>
      <c r="Y131" s="2"/>
      <c r="Z131" s="2"/>
      <c r="AA131" s="2"/>
      <c r="AB131" s="2"/>
      <c r="AC131" s="2"/>
      <c r="AD131" s="2"/>
      <c r="AE131" s="2"/>
      <c r="AF131" s="2"/>
    </row>
    <row r="132" s="30" customFormat="true" ht="63" hidden="false" customHeight="false" outlineLevel="0" collapsed="false">
      <c r="A132" s="2"/>
      <c r="B132" s="2" t="s">
        <v>331</v>
      </c>
      <c r="C132" s="3" t="s">
        <v>332</v>
      </c>
      <c r="D132" s="32" t="n">
        <v>2019</v>
      </c>
      <c r="E132" s="20" t="s">
        <v>333</v>
      </c>
      <c r="F132" s="3" t="s">
        <v>57</v>
      </c>
      <c r="G132" s="32" t="s">
        <v>75</v>
      </c>
      <c r="H132" s="32" t="s">
        <v>47</v>
      </c>
      <c r="I132" s="32" t="s">
        <v>114</v>
      </c>
      <c r="J132" s="32" t="s">
        <v>75</v>
      </c>
      <c r="K132" s="32" t="n">
        <v>300</v>
      </c>
      <c r="L132" s="32" t="s">
        <v>114</v>
      </c>
      <c r="M132" s="32" t="s">
        <v>78</v>
      </c>
      <c r="N132" s="32" t="s">
        <v>75</v>
      </c>
      <c r="O132" s="32" t="s">
        <v>75</v>
      </c>
      <c r="P132" s="32" t="s">
        <v>89</v>
      </c>
      <c r="Q132" s="32" t="s">
        <v>75</v>
      </c>
      <c r="R132" s="32" t="s">
        <v>75</v>
      </c>
      <c r="S132" s="32" t="s">
        <v>482</v>
      </c>
      <c r="T132" s="32" t="s">
        <v>53</v>
      </c>
      <c r="U132" s="32" t="s">
        <v>47</v>
      </c>
      <c r="V132" s="4" t="s">
        <v>483</v>
      </c>
      <c r="W132" s="28" t="n">
        <f aca="false">'ITRS data'!AC27</f>
        <v>10.8</v>
      </c>
      <c r="X132" s="2"/>
      <c r="Y132" s="2"/>
      <c r="Z132" s="2"/>
      <c r="AA132" s="2"/>
      <c r="AB132" s="2"/>
      <c r="AC132" s="2"/>
      <c r="AD132" s="2"/>
      <c r="AE132" s="2"/>
      <c r="AF132" s="2"/>
    </row>
    <row r="133" s="30" customFormat="true" ht="63" hidden="false" customHeight="false" outlineLevel="0" collapsed="false">
      <c r="A133" s="2"/>
      <c r="B133" s="2" t="s">
        <v>331</v>
      </c>
      <c r="C133" s="3" t="s">
        <v>332</v>
      </c>
      <c r="D133" s="32" t="n">
        <v>2020</v>
      </c>
      <c r="E133" s="20" t="s">
        <v>333</v>
      </c>
      <c r="F133" s="3" t="s">
        <v>57</v>
      </c>
      <c r="G133" s="32" t="s">
        <v>75</v>
      </c>
      <c r="H133" s="32" t="s">
        <v>47</v>
      </c>
      <c r="I133" s="32" t="s">
        <v>114</v>
      </c>
      <c r="J133" s="32" t="s">
        <v>75</v>
      </c>
      <c r="K133" s="32" t="n">
        <v>300</v>
      </c>
      <c r="L133" s="32" t="s">
        <v>114</v>
      </c>
      <c r="M133" s="32" t="s">
        <v>78</v>
      </c>
      <c r="N133" s="32" t="s">
        <v>75</v>
      </c>
      <c r="O133" s="32" t="s">
        <v>75</v>
      </c>
      <c r="P133" s="32" t="s">
        <v>89</v>
      </c>
      <c r="Q133" s="32" t="s">
        <v>75</v>
      </c>
      <c r="R133" s="32" t="s">
        <v>75</v>
      </c>
      <c r="S133" s="32" t="s">
        <v>482</v>
      </c>
      <c r="T133" s="32" t="s">
        <v>53</v>
      </c>
      <c r="U133" s="32" t="s">
        <v>47</v>
      </c>
      <c r="V133" s="4" t="s">
        <v>483</v>
      </c>
      <c r="W133" s="28" t="n">
        <f aca="false">'ITRS data'!AC28</f>
        <v>10.5</v>
      </c>
      <c r="X133" s="2"/>
      <c r="Y133" s="2"/>
      <c r="Z133" s="2"/>
      <c r="AA133" s="2"/>
      <c r="AB133" s="2"/>
      <c r="AC133" s="2"/>
      <c r="AD133" s="2"/>
      <c r="AE133" s="2"/>
      <c r="AF133" s="2"/>
    </row>
    <row r="134" s="30" customFormat="true" ht="63" hidden="false" customHeight="false" outlineLevel="0" collapsed="false">
      <c r="A134" s="2"/>
      <c r="B134" s="2" t="s">
        <v>331</v>
      </c>
      <c r="C134" s="3" t="s">
        <v>332</v>
      </c>
      <c r="D134" s="32" t="n">
        <v>2013</v>
      </c>
      <c r="E134" s="20" t="s">
        <v>333</v>
      </c>
      <c r="F134" s="3" t="s">
        <v>57</v>
      </c>
      <c r="G134" s="32" t="s">
        <v>75</v>
      </c>
      <c r="H134" s="32" t="s">
        <v>47</v>
      </c>
      <c r="I134" s="32" t="s">
        <v>114</v>
      </c>
      <c r="J134" s="32" t="s">
        <v>75</v>
      </c>
      <c r="K134" s="32" t="n">
        <v>200</v>
      </c>
      <c r="L134" s="32" t="s">
        <v>114</v>
      </c>
      <c r="M134" s="32" t="s">
        <v>78</v>
      </c>
      <c r="N134" s="32" t="s">
        <v>75</v>
      </c>
      <c r="O134" s="32" t="s">
        <v>75</v>
      </c>
      <c r="P134" s="32" t="s">
        <v>89</v>
      </c>
      <c r="Q134" s="32" t="s">
        <v>75</v>
      </c>
      <c r="R134" s="32" t="s">
        <v>75</v>
      </c>
      <c r="S134" s="32" t="s">
        <v>482</v>
      </c>
      <c r="T134" s="32" t="s">
        <v>53</v>
      </c>
      <c r="U134" s="32" t="s">
        <v>47</v>
      </c>
      <c r="V134" s="4" t="s">
        <v>483</v>
      </c>
      <c r="W134" s="28" t="n">
        <f aca="false">'ITRS data'!AB21</f>
        <v>14.1</v>
      </c>
      <c r="X134" s="2"/>
      <c r="Y134" s="2"/>
      <c r="Z134" s="2"/>
      <c r="AA134" s="2"/>
      <c r="AB134" s="2"/>
      <c r="AC134" s="2"/>
      <c r="AD134" s="2"/>
      <c r="AE134" s="2"/>
      <c r="AF134" s="2"/>
    </row>
    <row r="135" s="30" customFormat="true" ht="63" hidden="false" customHeight="false" outlineLevel="0" collapsed="false">
      <c r="A135" s="2"/>
      <c r="B135" s="2" t="s">
        <v>331</v>
      </c>
      <c r="C135" s="3" t="s">
        <v>332</v>
      </c>
      <c r="D135" s="32" t="n">
        <v>2014</v>
      </c>
      <c r="E135" s="20" t="s">
        <v>333</v>
      </c>
      <c r="F135" s="3" t="s">
        <v>57</v>
      </c>
      <c r="G135" s="32" t="s">
        <v>75</v>
      </c>
      <c r="H135" s="32" t="s">
        <v>47</v>
      </c>
      <c r="I135" s="32" t="s">
        <v>114</v>
      </c>
      <c r="J135" s="32" t="s">
        <v>75</v>
      </c>
      <c r="K135" s="32" t="n">
        <v>200</v>
      </c>
      <c r="L135" s="32" t="s">
        <v>114</v>
      </c>
      <c r="M135" s="32" t="s">
        <v>78</v>
      </c>
      <c r="N135" s="32" t="s">
        <v>75</v>
      </c>
      <c r="O135" s="32" t="s">
        <v>75</v>
      </c>
      <c r="P135" s="32" t="s">
        <v>89</v>
      </c>
      <c r="Q135" s="32" t="s">
        <v>75</v>
      </c>
      <c r="R135" s="32" t="s">
        <v>75</v>
      </c>
      <c r="S135" s="32" t="s">
        <v>482</v>
      </c>
      <c r="T135" s="32" t="s">
        <v>53</v>
      </c>
      <c r="U135" s="32" t="s">
        <v>47</v>
      </c>
      <c r="V135" s="4" t="s">
        <v>483</v>
      </c>
      <c r="W135" s="28" t="n">
        <f aca="false">'ITRS data'!AB22</f>
        <v>14.1</v>
      </c>
      <c r="X135" s="2"/>
      <c r="Y135" s="2"/>
      <c r="Z135" s="2"/>
      <c r="AA135" s="2"/>
      <c r="AB135" s="2"/>
      <c r="AC135" s="2"/>
      <c r="AD135" s="2"/>
      <c r="AE135" s="2"/>
      <c r="AF135" s="2"/>
    </row>
    <row r="136" s="30" customFormat="true" ht="63" hidden="false" customHeight="false" outlineLevel="0" collapsed="false">
      <c r="A136" s="2"/>
      <c r="B136" s="2" t="s">
        <v>331</v>
      </c>
      <c r="C136" s="3" t="s">
        <v>332</v>
      </c>
      <c r="D136" s="32" t="n">
        <v>2015</v>
      </c>
      <c r="E136" s="20" t="s">
        <v>333</v>
      </c>
      <c r="F136" s="3" t="s">
        <v>57</v>
      </c>
      <c r="G136" s="32" t="s">
        <v>75</v>
      </c>
      <c r="H136" s="32" t="s">
        <v>47</v>
      </c>
      <c r="I136" s="32" t="s">
        <v>114</v>
      </c>
      <c r="J136" s="32" t="s">
        <v>75</v>
      </c>
      <c r="K136" s="32" t="n">
        <v>200</v>
      </c>
      <c r="L136" s="32" t="s">
        <v>114</v>
      </c>
      <c r="M136" s="32" t="s">
        <v>78</v>
      </c>
      <c r="N136" s="32" t="s">
        <v>75</v>
      </c>
      <c r="O136" s="32" t="s">
        <v>75</v>
      </c>
      <c r="P136" s="32" t="s">
        <v>89</v>
      </c>
      <c r="Q136" s="32" t="s">
        <v>75</v>
      </c>
      <c r="R136" s="32" t="s">
        <v>75</v>
      </c>
      <c r="S136" s="32" t="s">
        <v>482</v>
      </c>
      <c r="T136" s="32" t="s">
        <v>53</v>
      </c>
      <c r="U136" s="32" t="s">
        <v>47</v>
      </c>
      <c r="V136" s="4" t="s">
        <v>483</v>
      </c>
      <c r="W136" s="28" t="n">
        <f aca="false">'ITRS data'!AB23</f>
        <v>13.5</v>
      </c>
      <c r="X136" s="2"/>
      <c r="Y136" s="2"/>
      <c r="Z136" s="2"/>
      <c r="AA136" s="2"/>
      <c r="AB136" s="2"/>
      <c r="AC136" s="2"/>
      <c r="AD136" s="2"/>
      <c r="AE136" s="2"/>
      <c r="AF136" s="2"/>
    </row>
    <row r="137" s="30" customFormat="true" ht="63" hidden="false" customHeight="false" outlineLevel="0" collapsed="false">
      <c r="A137" s="2"/>
      <c r="B137" s="2" t="s">
        <v>331</v>
      </c>
      <c r="C137" s="3" t="s">
        <v>332</v>
      </c>
      <c r="D137" s="32" t="n">
        <v>2016</v>
      </c>
      <c r="E137" s="20" t="s">
        <v>333</v>
      </c>
      <c r="F137" s="3" t="s">
        <v>57</v>
      </c>
      <c r="G137" s="32" t="s">
        <v>75</v>
      </c>
      <c r="H137" s="32" t="s">
        <v>47</v>
      </c>
      <c r="I137" s="32" t="s">
        <v>114</v>
      </c>
      <c r="J137" s="32" t="s">
        <v>75</v>
      </c>
      <c r="K137" s="32" t="n">
        <v>200</v>
      </c>
      <c r="L137" s="32" t="s">
        <v>114</v>
      </c>
      <c r="M137" s="32" t="s">
        <v>78</v>
      </c>
      <c r="N137" s="32" t="s">
        <v>75</v>
      </c>
      <c r="O137" s="32" t="s">
        <v>75</v>
      </c>
      <c r="P137" s="32" t="s">
        <v>89</v>
      </c>
      <c r="Q137" s="32" t="s">
        <v>75</v>
      </c>
      <c r="R137" s="32" t="s">
        <v>75</v>
      </c>
      <c r="S137" s="32" t="s">
        <v>482</v>
      </c>
      <c r="T137" s="32" t="s">
        <v>53</v>
      </c>
      <c r="U137" s="32" t="s">
        <v>47</v>
      </c>
      <c r="V137" s="4" t="s">
        <v>483</v>
      </c>
      <c r="W137" s="28" t="n">
        <f aca="false">'ITRS data'!AB24</f>
        <v>12.4</v>
      </c>
      <c r="X137" s="2"/>
      <c r="Y137" s="2"/>
      <c r="Z137" s="2"/>
      <c r="AA137" s="2"/>
      <c r="AB137" s="2"/>
      <c r="AC137" s="2"/>
      <c r="AD137" s="2"/>
      <c r="AE137" s="2"/>
      <c r="AF137" s="2"/>
    </row>
    <row r="138" s="30" customFormat="true" ht="63" hidden="false" customHeight="false" outlineLevel="0" collapsed="false">
      <c r="A138" s="2"/>
      <c r="B138" s="2" t="s">
        <v>331</v>
      </c>
      <c r="C138" s="3" t="s">
        <v>332</v>
      </c>
      <c r="D138" s="32" t="n">
        <v>2017</v>
      </c>
      <c r="E138" s="20" t="s">
        <v>333</v>
      </c>
      <c r="F138" s="3" t="s">
        <v>57</v>
      </c>
      <c r="G138" s="32" t="s">
        <v>75</v>
      </c>
      <c r="H138" s="32" t="s">
        <v>47</v>
      </c>
      <c r="I138" s="32" t="s">
        <v>114</v>
      </c>
      <c r="J138" s="32" t="s">
        <v>75</v>
      </c>
      <c r="K138" s="32" t="n">
        <v>200</v>
      </c>
      <c r="L138" s="32" t="s">
        <v>114</v>
      </c>
      <c r="M138" s="32" t="s">
        <v>78</v>
      </c>
      <c r="N138" s="32" t="s">
        <v>75</v>
      </c>
      <c r="O138" s="32" t="s">
        <v>75</v>
      </c>
      <c r="P138" s="32" t="s">
        <v>89</v>
      </c>
      <c r="Q138" s="32" t="s">
        <v>75</v>
      </c>
      <c r="R138" s="32" t="s">
        <v>75</v>
      </c>
      <c r="S138" s="32" t="s">
        <v>482</v>
      </c>
      <c r="T138" s="32" t="s">
        <v>53</v>
      </c>
      <c r="U138" s="32" t="s">
        <v>47</v>
      </c>
      <c r="V138" s="4" t="s">
        <v>483</v>
      </c>
      <c r="W138" s="28" t="n">
        <f aca="false">'ITRS data'!AB25</f>
        <v>11.8</v>
      </c>
      <c r="X138" s="2"/>
      <c r="Y138" s="2"/>
      <c r="Z138" s="2"/>
      <c r="AA138" s="2"/>
      <c r="AB138" s="2"/>
      <c r="AC138" s="2"/>
      <c r="AD138" s="2"/>
      <c r="AE138" s="2"/>
      <c r="AF138" s="2"/>
    </row>
    <row r="139" s="30" customFormat="true" ht="63" hidden="false" customHeight="false" outlineLevel="0" collapsed="false">
      <c r="A139" s="2"/>
      <c r="B139" s="2" t="s">
        <v>331</v>
      </c>
      <c r="C139" s="3" t="s">
        <v>332</v>
      </c>
      <c r="D139" s="32" t="n">
        <v>2018</v>
      </c>
      <c r="E139" s="20" t="s">
        <v>333</v>
      </c>
      <c r="F139" s="3" t="s">
        <v>57</v>
      </c>
      <c r="G139" s="32" t="s">
        <v>75</v>
      </c>
      <c r="H139" s="32" t="s">
        <v>47</v>
      </c>
      <c r="I139" s="32" t="s">
        <v>114</v>
      </c>
      <c r="J139" s="32" t="s">
        <v>75</v>
      </c>
      <c r="K139" s="32" t="n">
        <v>200</v>
      </c>
      <c r="L139" s="32" t="s">
        <v>114</v>
      </c>
      <c r="M139" s="32" t="s">
        <v>78</v>
      </c>
      <c r="N139" s="32" t="s">
        <v>75</v>
      </c>
      <c r="O139" s="32" t="s">
        <v>75</v>
      </c>
      <c r="P139" s="32" t="s">
        <v>89</v>
      </c>
      <c r="Q139" s="32" t="s">
        <v>75</v>
      </c>
      <c r="R139" s="32" t="s">
        <v>75</v>
      </c>
      <c r="S139" s="32" t="s">
        <v>482</v>
      </c>
      <c r="T139" s="32" t="s">
        <v>53</v>
      </c>
      <c r="U139" s="32" t="s">
        <v>47</v>
      </c>
      <c r="V139" s="4" t="s">
        <v>483</v>
      </c>
      <c r="W139" s="28" t="n">
        <f aca="false">'ITRS data'!AB26</f>
        <v>11.8</v>
      </c>
      <c r="X139" s="2"/>
      <c r="Y139" s="2"/>
      <c r="Z139" s="2"/>
      <c r="AA139" s="2"/>
      <c r="AB139" s="2"/>
      <c r="AC139" s="2"/>
      <c r="AD139" s="2"/>
      <c r="AE139" s="2"/>
      <c r="AF139" s="2"/>
    </row>
    <row r="140" s="30" customFormat="true" ht="63" hidden="false" customHeight="false" outlineLevel="0" collapsed="false">
      <c r="A140" s="2"/>
      <c r="B140" s="2" t="s">
        <v>331</v>
      </c>
      <c r="C140" s="3" t="s">
        <v>332</v>
      </c>
      <c r="D140" s="32" t="n">
        <v>2019</v>
      </c>
      <c r="E140" s="20" t="s">
        <v>333</v>
      </c>
      <c r="F140" s="3" t="s">
        <v>57</v>
      </c>
      <c r="G140" s="32" t="s">
        <v>75</v>
      </c>
      <c r="H140" s="32" t="s">
        <v>47</v>
      </c>
      <c r="I140" s="32" t="s">
        <v>114</v>
      </c>
      <c r="J140" s="32" t="s">
        <v>75</v>
      </c>
      <c r="K140" s="32" t="n">
        <v>200</v>
      </c>
      <c r="L140" s="32" t="s">
        <v>114</v>
      </c>
      <c r="M140" s="32" t="s">
        <v>78</v>
      </c>
      <c r="N140" s="32" t="s">
        <v>75</v>
      </c>
      <c r="O140" s="32" t="s">
        <v>75</v>
      </c>
      <c r="P140" s="32" t="s">
        <v>89</v>
      </c>
      <c r="Q140" s="32" t="s">
        <v>75</v>
      </c>
      <c r="R140" s="32" t="s">
        <v>75</v>
      </c>
      <c r="S140" s="32" t="s">
        <v>482</v>
      </c>
      <c r="T140" s="32" t="s">
        <v>53</v>
      </c>
      <c r="U140" s="32" t="s">
        <v>47</v>
      </c>
      <c r="V140" s="4" t="s">
        <v>483</v>
      </c>
      <c r="W140" s="28" t="n">
        <f aca="false">'ITRS data'!AB27</f>
        <v>10</v>
      </c>
      <c r="X140" s="2"/>
      <c r="Y140" s="2"/>
      <c r="Z140" s="2"/>
      <c r="AA140" s="2"/>
      <c r="AB140" s="2"/>
      <c r="AC140" s="2"/>
      <c r="AD140" s="2"/>
      <c r="AE140" s="2"/>
      <c r="AF140" s="2"/>
    </row>
    <row r="141" s="30" customFormat="true" ht="63" hidden="false" customHeight="false" outlineLevel="0" collapsed="false">
      <c r="A141" s="2"/>
      <c r="B141" s="2" t="s">
        <v>331</v>
      </c>
      <c r="C141" s="3" t="s">
        <v>332</v>
      </c>
      <c r="D141" s="32" t="n">
        <v>2020</v>
      </c>
      <c r="E141" s="20" t="s">
        <v>333</v>
      </c>
      <c r="F141" s="3" t="s">
        <v>57</v>
      </c>
      <c r="G141" s="32" t="s">
        <v>75</v>
      </c>
      <c r="H141" s="32" t="s">
        <v>47</v>
      </c>
      <c r="I141" s="32" t="s">
        <v>114</v>
      </c>
      <c r="J141" s="32" t="s">
        <v>75</v>
      </c>
      <c r="K141" s="32" t="n">
        <v>200</v>
      </c>
      <c r="L141" s="32" t="s">
        <v>114</v>
      </c>
      <c r="M141" s="32" t="s">
        <v>78</v>
      </c>
      <c r="N141" s="32" t="s">
        <v>75</v>
      </c>
      <c r="O141" s="32" t="s">
        <v>75</v>
      </c>
      <c r="P141" s="32" t="s">
        <v>89</v>
      </c>
      <c r="Q141" s="32" t="s">
        <v>75</v>
      </c>
      <c r="R141" s="32" t="s">
        <v>75</v>
      </c>
      <c r="S141" s="32" t="s">
        <v>482</v>
      </c>
      <c r="T141" s="32" t="s">
        <v>53</v>
      </c>
      <c r="U141" s="32" t="s">
        <v>47</v>
      </c>
      <c r="V141" s="4" t="s">
        <v>483</v>
      </c>
      <c r="W141" s="28" t="n">
        <f aca="false">'ITRS data'!AB28</f>
        <v>9.8</v>
      </c>
      <c r="X141" s="2"/>
      <c r="Y141" s="2"/>
      <c r="Z141" s="2"/>
      <c r="AA141" s="2"/>
      <c r="AB141" s="2"/>
      <c r="AC141" s="2"/>
      <c r="AD141" s="2"/>
      <c r="AE141" s="2"/>
      <c r="AF141" s="2"/>
    </row>
    <row r="142" s="51" customFormat="true" ht="15.75" hidden="false" customHeight="false" outlineLevel="0" collapsed="false">
      <c r="A142" s="73"/>
      <c r="B142" s="73"/>
      <c r="C142" s="73"/>
      <c r="D142" s="73"/>
      <c r="E142" s="83"/>
      <c r="F142" s="73"/>
      <c r="G142" s="73"/>
      <c r="H142" s="73"/>
      <c r="I142" s="73"/>
      <c r="J142" s="73"/>
      <c r="K142" s="73"/>
      <c r="L142" s="73"/>
      <c r="M142" s="73"/>
      <c r="N142" s="73"/>
      <c r="O142" s="73"/>
      <c r="P142" s="73"/>
      <c r="Q142" s="73"/>
      <c r="R142" s="73"/>
      <c r="S142" s="73"/>
      <c r="T142" s="73"/>
      <c r="U142" s="73"/>
      <c r="V142" s="73"/>
      <c r="W142" s="75"/>
      <c r="X142" s="73"/>
      <c r="Y142" s="73"/>
      <c r="Z142" s="73"/>
      <c r="AA142" s="73"/>
      <c r="AB142" s="73"/>
      <c r="AC142" s="73"/>
      <c r="AD142" s="73"/>
      <c r="AE142" s="50"/>
      <c r="AF142" s="50"/>
    </row>
    <row r="143" s="30" customFormat="true" ht="157.5" hidden="false" customHeight="false" outlineLevel="0" collapsed="false">
      <c r="A143" s="2"/>
      <c r="B143" s="2" t="s">
        <v>335</v>
      </c>
      <c r="C143" s="3" t="s">
        <v>336</v>
      </c>
      <c r="D143" s="3" t="n">
        <v>2022</v>
      </c>
      <c r="E143" s="20" t="s">
        <v>337</v>
      </c>
      <c r="F143" s="3" t="s">
        <v>62</v>
      </c>
      <c r="G143" s="3" t="s">
        <v>46</v>
      </c>
      <c r="H143" s="3" t="s">
        <v>47</v>
      </c>
      <c r="I143" s="3" t="s">
        <v>47</v>
      </c>
      <c r="J143" s="3" t="n">
        <f aca="false">'GaBi data'!B8</f>
        <v>350</v>
      </c>
      <c r="K143" s="32" t="n">
        <v>300</v>
      </c>
      <c r="L143" s="3" t="s">
        <v>47</v>
      </c>
      <c r="M143" s="3" t="s">
        <v>78</v>
      </c>
      <c r="N143" s="3" t="s">
        <v>47</v>
      </c>
      <c r="O143" s="3" t="s">
        <v>338</v>
      </c>
      <c r="P143" s="3" t="s">
        <v>89</v>
      </c>
      <c r="Q143" s="3" t="s">
        <v>339</v>
      </c>
      <c r="R143" s="3" t="s">
        <v>58</v>
      </c>
      <c r="S143" s="3" t="s">
        <v>47</v>
      </c>
      <c r="T143" s="3" t="s">
        <v>82</v>
      </c>
      <c r="U143" s="3" t="s">
        <v>47</v>
      </c>
      <c r="V143" s="4" t="s">
        <v>340</v>
      </c>
      <c r="W143" s="28" t="str">
        <f aca="false">'GaBi data'!F8</f>
        <v>NA</v>
      </c>
      <c r="X143" s="2"/>
      <c r="Y143" s="2"/>
      <c r="Z143" s="2"/>
      <c r="AA143" s="2"/>
      <c r="AB143" s="2"/>
      <c r="AC143" s="2"/>
      <c r="AD143" s="2"/>
      <c r="AE143" s="2"/>
      <c r="AF143" s="2"/>
    </row>
    <row r="144" s="30" customFormat="true" ht="157.5" hidden="false" customHeight="false" outlineLevel="0" collapsed="false">
      <c r="A144" s="2"/>
      <c r="B144" s="2" t="s">
        <v>335</v>
      </c>
      <c r="C144" s="3" t="s">
        <v>336</v>
      </c>
      <c r="D144" s="3" t="n">
        <v>2022</v>
      </c>
      <c r="E144" s="20" t="s">
        <v>337</v>
      </c>
      <c r="F144" s="3" t="s">
        <v>62</v>
      </c>
      <c r="G144" s="3" t="s">
        <v>46</v>
      </c>
      <c r="H144" s="3" t="s">
        <v>47</v>
      </c>
      <c r="I144" s="3" t="s">
        <v>47</v>
      </c>
      <c r="J144" s="3" t="n">
        <f aca="false">'GaBi data'!B9</f>
        <v>250</v>
      </c>
      <c r="K144" s="32" t="n">
        <v>300</v>
      </c>
      <c r="L144" s="3" t="s">
        <v>47</v>
      </c>
      <c r="M144" s="3" t="s">
        <v>78</v>
      </c>
      <c r="N144" s="3" t="s">
        <v>47</v>
      </c>
      <c r="O144" s="3" t="s">
        <v>338</v>
      </c>
      <c r="P144" s="3" t="s">
        <v>89</v>
      </c>
      <c r="Q144" s="3" t="s">
        <v>339</v>
      </c>
      <c r="R144" s="3" t="s">
        <v>58</v>
      </c>
      <c r="S144" s="3" t="s">
        <v>47</v>
      </c>
      <c r="T144" s="3" t="s">
        <v>82</v>
      </c>
      <c r="U144" s="3" t="s">
        <v>47</v>
      </c>
      <c r="V144" s="4" t="s">
        <v>340</v>
      </c>
      <c r="W144" s="28" t="str">
        <f aca="false">'GaBi data'!F9</f>
        <v>NA</v>
      </c>
      <c r="X144" s="2"/>
      <c r="Y144" s="2"/>
      <c r="Z144" s="2"/>
      <c r="AA144" s="2"/>
      <c r="AB144" s="2"/>
      <c r="AC144" s="2"/>
      <c r="AD144" s="2"/>
      <c r="AE144" s="2"/>
      <c r="AF144" s="2"/>
    </row>
    <row r="145" s="30" customFormat="true" ht="157.5" hidden="false" customHeight="false" outlineLevel="0" collapsed="false">
      <c r="A145" s="2"/>
      <c r="B145" s="2" t="s">
        <v>335</v>
      </c>
      <c r="C145" s="3" t="s">
        <v>336</v>
      </c>
      <c r="D145" s="3" t="n">
        <v>2022</v>
      </c>
      <c r="E145" s="20" t="s">
        <v>337</v>
      </c>
      <c r="F145" s="3" t="s">
        <v>62</v>
      </c>
      <c r="G145" s="3" t="s">
        <v>46</v>
      </c>
      <c r="H145" s="3" t="s">
        <v>47</v>
      </c>
      <c r="I145" s="3" t="s">
        <v>47</v>
      </c>
      <c r="J145" s="3" t="n">
        <f aca="false">'GaBi data'!B10</f>
        <v>180</v>
      </c>
      <c r="K145" s="32" t="n">
        <v>300</v>
      </c>
      <c r="L145" s="3" t="s">
        <v>47</v>
      </c>
      <c r="M145" s="3" t="s">
        <v>78</v>
      </c>
      <c r="N145" s="3" t="s">
        <v>47</v>
      </c>
      <c r="O145" s="3" t="s">
        <v>338</v>
      </c>
      <c r="P145" s="3" t="s">
        <v>89</v>
      </c>
      <c r="Q145" s="3" t="s">
        <v>339</v>
      </c>
      <c r="R145" s="3" t="s">
        <v>58</v>
      </c>
      <c r="S145" s="3" t="s">
        <v>47</v>
      </c>
      <c r="T145" s="3" t="s">
        <v>82</v>
      </c>
      <c r="U145" s="3" t="s">
        <v>47</v>
      </c>
      <c r="V145" s="4" t="s">
        <v>340</v>
      </c>
      <c r="W145" s="28" t="str">
        <f aca="false">'GaBi data'!F10</f>
        <v>NA</v>
      </c>
      <c r="X145" s="2"/>
      <c r="Y145" s="2"/>
      <c r="Z145" s="2"/>
      <c r="AA145" s="2"/>
      <c r="AB145" s="2"/>
      <c r="AC145" s="2"/>
      <c r="AD145" s="2"/>
      <c r="AE145" s="2"/>
      <c r="AF145" s="2"/>
    </row>
    <row r="146" s="30" customFormat="true" ht="157.5" hidden="false" customHeight="false" outlineLevel="0" collapsed="false">
      <c r="A146" s="2"/>
      <c r="B146" s="2" t="s">
        <v>335</v>
      </c>
      <c r="C146" s="3" t="s">
        <v>336</v>
      </c>
      <c r="D146" s="3" t="n">
        <v>2022</v>
      </c>
      <c r="E146" s="20" t="s">
        <v>337</v>
      </c>
      <c r="F146" s="3" t="s">
        <v>62</v>
      </c>
      <c r="G146" s="3" t="s">
        <v>46</v>
      </c>
      <c r="H146" s="3" t="s">
        <v>47</v>
      </c>
      <c r="I146" s="3" t="s">
        <v>47</v>
      </c>
      <c r="J146" s="3" t="n">
        <f aca="false">'GaBi data'!B11</f>
        <v>130</v>
      </c>
      <c r="K146" s="32" t="n">
        <v>300</v>
      </c>
      <c r="L146" s="3" t="s">
        <v>47</v>
      </c>
      <c r="M146" s="3" t="s">
        <v>78</v>
      </c>
      <c r="N146" s="3" t="s">
        <v>47</v>
      </c>
      <c r="O146" s="3" t="s">
        <v>338</v>
      </c>
      <c r="P146" s="3" t="s">
        <v>89</v>
      </c>
      <c r="Q146" s="3" t="s">
        <v>339</v>
      </c>
      <c r="R146" s="3" t="s">
        <v>58</v>
      </c>
      <c r="S146" s="3" t="s">
        <v>47</v>
      </c>
      <c r="T146" s="3" t="s">
        <v>82</v>
      </c>
      <c r="U146" s="3" t="s">
        <v>47</v>
      </c>
      <c r="V146" s="4" t="s">
        <v>340</v>
      </c>
      <c r="W146" s="28" t="str">
        <f aca="false">'GaBi data'!F11</f>
        <v>NA</v>
      </c>
      <c r="X146" s="2"/>
      <c r="Y146" s="2"/>
      <c r="Z146" s="2"/>
      <c r="AA146" s="2"/>
      <c r="AB146" s="2"/>
      <c r="AC146" s="2"/>
      <c r="AD146" s="2"/>
      <c r="AE146" s="2"/>
      <c r="AF146" s="2"/>
    </row>
    <row r="147" s="30" customFormat="true" ht="157.5" hidden="false" customHeight="false" outlineLevel="0" collapsed="false">
      <c r="A147" s="2"/>
      <c r="B147" s="2" t="s">
        <v>335</v>
      </c>
      <c r="C147" s="3" t="s">
        <v>336</v>
      </c>
      <c r="D147" s="3" t="n">
        <v>2022</v>
      </c>
      <c r="E147" s="20" t="s">
        <v>337</v>
      </c>
      <c r="F147" s="3" t="s">
        <v>62</v>
      </c>
      <c r="G147" s="3" t="s">
        <v>46</v>
      </c>
      <c r="H147" s="3" t="s">
        <v>47</v>
      </c>
      <c r="I147" s="3" t="s">
        <v>47</v>
      </c>
      <c r="J147" s="3" t="n">
        <f aca="false">'GaBi data'!B12</f>
        <v>90</v>
      </c>
      <c r="K147" s="32" t="n">
        <v>300</v>
      </c>
      <c r="L147" s="3" t="s">
        <v>47</v>
      </c>
      <c r="M147" s="3" t="s">
        <v>78</v>
      </c>
      <c r="N147" s="3" t="s">
        <v>47</v>
      </c>
      <c r="O147" s="3" t="s">
        <v>338</v>
      </c>
      <c r="P147" s="3" t="s">
        <v>89</v>
      </c>
      <c r="Q147" s="3" t="s">
        <v>339</v>
      </c>
      <c r="R147" s="3" t="s">
        <v>58</v>
      </c>
      <c r="S147" s="3" t="s">
        <v>47</v>
      </c>
      <c r="T147" s="3" t="s">
        <v>82</v>
      </c>
      <c r="U147" s="3" t="s">
        <v>47</v>
      </c>
      <c r="V147" s="4" t="s">
        <v>340</v>
      </c>
      <c r="W147" s="28" t="str">
        <f aca="false">'GaBi data'!F12</f>
        <v>NA</v>
      </c>
      <c r="X147" s="2"/>
      <c r="Y147" s="2"/>
      <c r="Z147" s="2"/>
      <c r="AA147" s="2"/>
      <c r="AB147" s="2"/>
      <c r="AC147" s="2"/>
      <c r="AD147" s="2"/>
      <c r="AE147" s="2"/>
      <c r="AF147" s="2"/>
    </row>
    <row r="148" s="30" customFormat="true" ht="157.5" hidden="false" customHeight="false" outlineLevel="0" collapsed="false">
      <c r="A148" s="2"/>
      <c r="B148" s="2" t="s">
        <v>335</v>
      </c>
      <c r="C148" s="3" t="s">
        <v>336</v>
      </c>
      <c r="D148" s="3" t="n">
        <v>2022</v>
      </c>
      <c r="E148" s="20" t="s">
        <v>337</v>
      </c>
      <c r="F148" s="3" t="s">
        <v>62</v>
      </c>
      <c r="G148" s="3" t="s">
        <v>46</v>
      </c>
      <c r="H148" s="3" t="s">
        <v>47</v>
      </c>
      <c r="I148" s="3" t="s">
        <v>47</v>
      </c>
      <c r="J148" s="3" t="n">
        <f aca="false">'GaBi data'!B13</f>
        <v>65</v>
      </c>
      <c r="K148" s="32" t="n">
        <v>300</v>
      </c>
      <c r="L148" s="3" t="s">
        <v>47</v>
      </c>
      <c r="M148" s="3" t="s">
        <v>78</v>
      </c>
      <c r="N148" s="3" t="s">
        <v>47</v>
      </c>
      <c r="O148" s="3" t="s">
        <v>338</v>
      </c>
      <c r="P148" s="3" t="s">
        <v>89</v>
      </c>
      <c r="Q148" s="3" t="s">
        <v>339</v>
      </c>
      <c r="R148" s="3" t="s">
        <v>58</v>
      </c>
      <c r="S148" s="3" t="s">
        <v>47</v>
      </c>
      <c r="T148" s="3" t="s">
        <v>82</v>
      </c>
      <c r="U148" s="3" t="s">
        <v>47</v>
      </c>
      <c r="V148" s="4" t="s">
        <v>340</v>
      </c>
      <c r="W148" s="28" t="str">
        <f aca="false">'GaBi data'!F13</f>
        <v>NA</v>
      </c>
      <c r="X148" s="2"/>
      <c r="Y148" s="2"/>
      <c r="Z148" s="2"/>
      <c r="AA148" s="2"/>
      <c r="AB148" s="2"/>
      <c r="AC148" s="2"/>
      <c r="AD148" s="2"/>
      <c r="AE148" s="2"/>
      <c r="AF148" s="2"/>
    </row>
    <row r="149" s="30" customFormat="true" ht="157.5" hidden="false" customHeight="false" outlineLevel="0" collapsed="false">
      <c r="A149" s="2"/>
      <c r="B149" s="2" t="s">
        <v>335</v>
      </c>
      <c r="C149" s="3" t="s">
        <v>336</v>
      </c>
      <c r="D149" s="3" t="n">
        <v>2022</v>
      </c>
      <c r="E149" s="20" t="s">
        <v>337</v>
      </c>
      <c r="F149" s="3" t="s">
        <v>62</v>
      </c>
      <c r="G149" s="3" t="s">
        <v>46</v>
      </c>
      <c r="H149" s="3" t="s">
        <v>47</v>
      </c>
      <c r="I149" s="3" t="s">
        <v>47</v>
      </c>
      <c r="J149" s="3" t="n">
        <f aca="false">'GaBi data'!B14</f>
        <v>45</v>
      </c>
      <c r="K149" s="32" t="n">
        <v>300</v>
      </c>
      <c r="L149" s="3" t="s">
        <v>47</v>
      </c>
      <c r="M149" s="3" t="s">
        <v>78</v>
      </c>
      <c r="N149" s="3" t="s">
        <v>47</v>
      </c>
      <c r="O149" s="3" t="s">
        <v>338</v>
      </c>
      <c r="P149" s="3" t="s">
        <v>89</v>
      </c>
      <c r="Q149" s="3" t="s">
        <v>339</v>
      </c>
      <c r="R149" s="3" t="s">
        <v>58</v>
      </c>
      <c r="S149" s="3" t="s">
        <v>47</v>
      </c>
      <c r="T149" s="3" t="s">
        <v>82</v>
      </c>
      <c r="U149" s="3" t="s">
        <v>47</v>
      </c>
      <c r="V149" s="4" t="s">
        <v>340</v>
      </c>
      <c r="W149" s="28" t="str">
        <f aca="false">'GaBi data'!F14</f>
        <v>NA</v>
      </c>
      <c r="X149" s="2"/>
      <c r="Y149" s="2"/>
      <c r="Z149" s="2"/>
      <c r="AA149" s="2"/>
      <c r="AB149" s="2"/>
      <c r="AC149" s="2"/>
      <c r="AD149" s="2"/>
      <c r="AE149" s="2"/>
      <c r="AF149" s="2"/>
    </row>
    <row r="150" s="30" customFormat="true" ht="157.5" hidden="false" customHeight="false" outlineLevel="0" collapsed="false">
      <c r="A150" s="2"/>
      <c r="B150" s="2" t="s">
        <v>335</v>
      </c>
      <c r="C150" s="3" t="s">
        <v>336</v>
      </c>
      <c r="D150" s="3" t="n">
        <v>2022</v>
      </c>
      <c r="E150" s="20" t="s">
        <v>337</v>
      </c>
      <c r="F150" s="3" t="s">
        <v>62</v>
      </c>
      <c r="G150" s="3" t="s">
        <v>46</v>
      </c>
      <c r="H150" s="3" t="s">
        <v>47</v>
      </c>
      <c r="I150" s="3" t="s">
        <v>47</v>
      </c>
      <c r="J150" s="3" t="n">
        <f aca="false">'GaBi data'!B15</f>
        <v>32</v>
      </c>
      <c r="K150" s="32" t="n">
        <v>300</v>
      </c>
      <c r="L150" s="3" t="s">
        <v>47</v>
      </c>
      <c r="M150" s="3" t="s">
        <v>78</v>
      </c>
      <c r="N150" s="3" t="s">
        <v>47</v>
      </c>
      <c r="O150" s="3" t="s">
        <v>338</v>
      </c>
      <c r="P150" s="3" t="s">
        <v>89</v>
      </c>
      <c r="Q150" s="3" t="s">
        <v>339</v>
      </c>
      <c r="R150" s="3" t="s">
        <v>58</v>
      </c>
      <c r="S150" s="3" t="s">
        <v>47</v>
      </c>
      <c r="T150" s="3" t="s">
        <v>82</v>
      </c>
      <c r="U150" s="3" t="s">
        <v>47</v>
      </c>
      <c r="V150" s="4" t="s">
        <v>340</v>
      </c>
      <c r="W150" s="28" t="str">
        <f aca="false">'GaBi data'!F15</f>
        <v>NA</v>
      </c>
      <c r="X150" s="2"/>
      <c r="Y150" s="2"/>
      <c r="Z150" s="2"/>
      <c r="AA150" s="2"/>
      <c r="AB150" s="2"/>
      <c r="AC150" s="2"/>
      <c r="AD150" s="2"/>
      <c r="AE150" s="2"/>
      <c r="AF150" s="2"/>
    </row>
    <row r="151" s="30" customFormat="true" ht="157.5" hidden="false" customHeight="false" outlineLevel="0" collapsed="false">
      <c r="A151" s="2"/>
      <c r="B151" s="2" t="s">
        <v>335</v>
      </c>
      <c r="C151" s="3" t="s">
        <v>336</v>
      </c>
      <c r="D151" s="3" t="n">
        <v>2022</v>
      </c>
      <c r="E151" s="20" t="s">
        <v>337</v>
      </c>
      <c r="F151" s="3" t="s">
        <v>62</v>
      </c>
      <c r="G151" s="3" t="s">
        <v>46</v>
      </c>
      <c r="H151" s="3" t="s">
        <v>47</v>
      </c>
      <c r="I151" s="3" t="s">
        <v>47</v>
      </c>
      <c r="J151" s="3" t="n">
        <f aca="false">'GaBi data'!B16</f>
        <v>22</v>
      </c>
      <c r="K151" s="32" t="n">
        <v>300</v>
      </c>
      <c r="L151" s="3" t="s">
        <v>47</v>
      </c>
      <c r="M151" s="3" t="s">
        <v>78</v>
      </c>
      <c r="N151" s="3" t="s">
        <v>47</v>
      </c>
      <c r="O151" s="3" t="s">
        <v>338</v>
      </c>
      <c r="P151" s="3" t="s">
        <v>89</v>
      </c>
      <c r="Q151" s="3" t="s">
        <v>339</v>
      </c>
      <c r="R151" s="3" t="s">
        <v>58</v>
      </c>
      <c r="S151" s="3" t="s">
        <v>47</v>
      </c>
      <c r="T151" s="3" t="s">
        <v>82</v>
      </c>
      <c r="U151" s="3" t="s">
        <v>47</v>
      </c>
      <c r="V151" s="4" t="s">
        <v>340</v>
      </c>
      <c r="W151" s="28" t="str">
        <f aca="false">'GaBi data'!F16</f>
        <v>NA</v>
      </c>
      <c r="X151" s="2"/>
      <c r="Y151" s="2"/>
      <c r="Z151" s="2"/>
      <c r="AA151" s="2"/>
      <c r="AB151" s="2"/>
      <c r="AC151" s="2"/>
      <c r="AD151" s="2"/>
      <c r="AE151" s="2"/>
      <c r="AF151" s="2"/>
    </row>
    <row r="152" s="30" customFormat="true" ht="157.5" hidden="false" customHeight="false" outlineLevel="0" collapsed="false">
      <c r="A152" s="2"/>
      <c r="B152" s="2" t="s">
        <v>335</v>
      </c>
      <c r="C152" s="3" t="s">
        <v>336</v>
      </c>
      <c r="D152" s="3" t="n">
        <v>2022</v>
      </c>
      <c r="E152" s="20" t="s">
        <v>337</v>
      </c>
      <c r="F152" s="3" t="s">
        <v>62</v>
      </c>
      <c r="G152" s="3" t="s">
        <v>46</v>
      </c>
      <c r="H152" s="3" t="s">
        <v>47</v>
      </c>
      <c r="I152" s="3" t="s">
        <v>47</v>
      </c>
      <c r="J152" s="3" t="n">
        <f aca="false">'GaBi data'!B17</f>
        <v>14</v>
      </c>
      <c r="K152" s="32" t="n">
        <v>300</v>
      </c>
      <c r="L152" s="3" t="s">
        <v>47</v>
      </c>
      <c r="M152" s="3" t="s">
        <v>78</v>
      </c>
      <c r="N152" s="3" t="s">
        <v>47</v>
      </c>
      <c r="O152" s="3" t="s">
        <v>338</v>
      </c>
      <c r="P152" s="3" t="s">
        <v>89</v>
      </c>
      <c r="Q152" s="3" t="s">
        <v>339</v>
      </c>
      <c r="R152" s="3" t="s">
        <v>58</v>
      </c>
      <c r="S152" s="3" t="s">
        <v>47</v>
      </c>
      <c r="T152" s="3" t="s">
        <v>82</v>
      </c>
      <c r="U152" s="3" t="s">
        <v>47</v>
      </c>
      <c r="V152" s="4" t="s">
        <v>340</v>
      </c>
      <c r="W152" s="28" t="str">
        <f aca="false">'GaBi data'!F17</f>
        <v>NA</v>
      </c>
      <c r="X152" s="2"/>
      <c r="Y152" s="2"/>
      <c r="Z152" s="2"/>
      <c r="AA152" s="2"/>
      <c r="AB152" s="2"/>
      <c r="AC152" s="2"/>
      <c r="AD152" s="2"/>
      <c r="AE152" s="2"/>
      <c r="AF152" s="2"/>
    </row>
    <row r="153" s="30" customFormat="true" ht="173.25" hidden="false" customHeight="false" outlineLevel="0" collapsed="false">
      <c r="A153" s="2"/>
      <c r="B153" s="2" t="s">
        <v>335</v>
      </c>
      <c r="C153" s="3" t="s">
        <v>336</v>
      </c>
      <c r="D153" s="3" t="n">
        <v>2022</v>
      </c>
      <c r="E153" s="20" t="s">
        <v>337</v>
      </c>
      <c r="F153" s="3" t="s">
        <v>62</v>
      </c>
      <c r="G153" s="3" t="s">
        <v>341</v>
      </c>
      <c r="H153" s="3" t="s">
        <v>47</v>
      </c>
      <c r="I153" s="3" t="s">
        <v>47</v>
      </c>
      <c r="J153" s="3" t="n">
        <f aca="false">'GaBi data'!B19</f>
        <v>57</v>
      </c>
      <c r="K153" s="32" t="n">
        <v>300</v>
      </c>
      <c r="L153" s="3" t="s">
        <v>47</v>
      </c>
      <c r="M153" s="3" t="s">
        <v>74</v>
      </c>
      <c r="N153" s="3" t="s">
        <v>47</v>
      </c>
      <c r="O153" s="3" t="s">
        <v>338</v>
      </c>
      <c r="P153" s="3" t="s">
        <v>89</v>
      </c>
      <c r="Q153" s="3" t="s">
        <v>342</v>
      </c>
      <c r="R153" s="3" t="s">
        <v>58</v>
      </c>
      <c r="S153" s="3" t="s">
        <v>47</v>
      </c>
      <c r="T153" s="3" t="s">
        <v>125</v>
      </c>
      <c r="U153" s="3" t="s">
        <v>47</v>
      </c>
      <c r="V153" s="4" t="s">
        <v>343</v>
      </c>
      <c r="W153" s="28" t="str">
        <f aca="false">'GaBi data'!F19</f>
        <v>NA</v>
      </c>
      <c r="X153" s="2"/>
      <c r="Y153" s="2"/>
      <c r="Z153" s="2"/>
      <c r="AA153" s="2"/>
      <c r="AB153" s="2"/>
      <c r="AC153" s="2"/>
      <c r="AD153" s="2"/>
      <c r="AE153" s="2"/>
      <c r="AF153" s="2"/>
    </row>
    <row r="154" s="30" customFormat="true" ht="173.25" hidden="false" customHeight="false" outlineLevel="0" collapsed="false">
      <c r="A154" s="2"/>
      <c r="B154" s="2" t="s">
        <v>335</v>
      </c>
      <c r="C154" s="3" t="s">
        <v>336</v>
      </c>
      <c r="D154" s="3" t="n">
        <v>2022</v>
      </c>
      <c r="E154" s="20" t="s">
        <v>337</v>
      </c>
      <c r="F154" s="3" t="s">
        <v>62</v>
      </c>
      <c r="G154" s="3" t="s">
        <v>341</v>
      </c>
      <c r="H154" s="3" t="s">
        <v>47</v>
      </c>
      <c r="I154" s="3" t="s">
        <v>47</v>
      </c>
      <c r="J154" s="3" t="n">
        <f aca="false">'GaBi data'!B20</f>
        <v>45</v>
      </c>
      <c r="K154" s="32" t="n">
        <v>300</v>
      </c>
      <c r="L154" s="3" t="s">
        <v>47</v>
      </c>
      <c r="M154" s="3" t="s">
        <v>74</v>
      </c>
      <c r="N154" s="3" t="s">
        <v>47</v>
      </c>
      <c r="O154" s="3" t="s">
        <v>338</v>
      </c>
      <c r="P154" s="3" t="s">
        <v>89</v>
      </c>
      <c r="Q154" s="3" t="s">
        <v>342</v>
      </c>
      <c r="R154" s="3" t="s">
        <v>58</v>
      </c>
      <c r="S154" s="3" t="s">
        <v>47</v>
      </c>
      <c r="T154" s="3" t="s">
        <v>125</v>
      </c>
      <c r="U154" s="3" t="s">
        <v>47</v>
      </c>
      <c r="V154" s="4" t="s">
        <v>344</v>
      </c>
      <c r="W154" s="28" t="str">
        <f aca="false">'GaBi data'!F20</f>
        <v>NA</v>
      </c>
      <c r="X154" s="2"/>
      <c r="Y154" s="2"/>
      <c r="Z154" s="2"/>
      <c r="AA154" s="2"/>
      <c r="AB154" s="2"/>
      <c r="AC154" s="2"/>
      <c r="AD154" s="2"/>
      <c r="AE154" s="2"/>
      <c r="AF154" s="2"/>
    </row>
    <row r="155" s="47" customFormat="true" ht="15.75" hidden="false" customHeight="false" outlineLevel="0" collapsed="false">
      <c r="A155" s="40"/>
      <c r="B155" s="40"/>
      <c r="C155" s="42"/>
      <c r="D155" s="42"/>
      <c r="E155" s="43"/>
      <c r="F155" s="42"/>
      <c r="G155" s="42"/>
      <c r="H155" s="42"/>
      <c r="I155" s="42"/>
      <c r="J155" s="42"/>
      <c r="K155" s="42"/>
      <c r="L155" s="42"/>
      <c r="M155" s="42"/>
      <c r="N155" s="42"/>
      <c r="O155" s="42"/>
      <c r="P155" s="42"/>
      <c r="Q155" s="42"/>
      <c r="R155" s="42"/>
      <c r="S155" s="42"/>
      <c r="T155" s="42"/>
      <c r="U155" s="42"/>
      <c r="V155" s="44"/>
      <c r="W155" s="45"/>
      <c r="X155" s="40"/>
      <c r="Y155" s="40"/>
      <c r="Z155" s="40"/>
      <c r="AA155" s="40"/>
      <c r="AB155" s="40"/>
      <c r="AC155" s="40"/>
      <c r="AD155" s="40"/>
      <c r="AE155" s="40"/>
      <c r="AF155" s="40"/>
    </row>
    <row r="156" s="30" customFormat="true" ht="31.5" hidden="false" customHeight="false" outlineLevel="0" collapsed="false">
      <c r="A156" s="2"/>
      <c r="B156" s="2" t="s">
        <v>345</v>
      </c>
      <c r="C156" s="3" t="s">
        <v>346</v>
      </c>
      <c r="D156" s="3" t="n">
        <v>2019</v>
      </c>
      <c r="E156" s="20" t="s">
        <v>347</v>
      </c>
      <c r="F156" s="3" t="s">
        <v>62</v>
      </c>
      <c r="G156" s="3" t="s">
        <v>58</v>
      </c>
      <c r="H156" s="3" t="s">
        <v>47</v>
      </c>
      <c r="I156" s="3" t="s">
        <v>53</v>
      </c>
      <c r="J156" s="3" t="n">
        <v>130</v>
      </c>
      <c r="K156" s="3" t="n">
        <v>300</v>
      </c>
      <c r="L156" s="3" t="s">
        <v>114</v>
      </c>
      <c r="M156" s="3" t="s">
        <v>53</v>
      </c>
      <c r="N156" s="3" t="s">
        <v>47</v>
      </c>
      <c r="O156" s="3" t="s">
        <v>65</v>
      </c>
      <c r="P156" s="3" t="s">
        <v>89</v>
      </c>
      <c r="Q156" s="3" t="s">
        <v>50</v>
      </c>
      <c r="R156" s="3" t="s">
        <v>58</v>
      </c>
      <c r="S156" s="3" t="s">
        <v>78</v>
      </c>
      <c r="T156" s="3" t="s">
        <v>53</v>
      </c>
      <c r="U156" s="3" t="s">
        <v>47</v>
      </c>
      <c r="V156" s="4" t="s">
        <v>348</v>
      </c>
      <c r="W156" s="28" t="n">
        <f aca="false">'EIME data'!G6</f>
        <v>23.1</v>
      </c>
      <c r="X156" s="2"/>
      <c r="Y156" s="2"/>
      <c r="Z156" s="2"/>
      <c r="AA156" s="2"/>
      <c r="AB156" s="2"/>
      <c r="AC156" s="2"/>
      <c r="AD156" s="2"/>
      <c r="AE156" s="2"/>
      <c r="AF156" s="2"/>
    </row>
    <row r="157" s="30" customFormat="true" ht="31.5" hidden="false" customHeight="false" outlineLevel="0" collapsed="false">
      <c r="A157" s="2"/>
      <c r="B157" s="2" t="s">
        <v>345</v>
      </c>
      <c r="C157" s="3" t="s">
        <v>346</v>
      </c>
      <c r="D157" s="3" t="n">
        <v>2019</v>
      </c>
      <c r="E157" s="20" t="s">
        <v>347</v>
      </c>
      <c r="F157" s="3" t="s">
        <v>62</v>
      </c>
      <c r="G157" s="3" t="s">
        <v>58</v>
      </c>
      <c r="H157" s="3" t="s">
        <v>47</v>
      </c>
      <c r="I157" s="3" t="s">
        <v>53</v>
      </c>
      <c r="J157" s="3" t="n">
        <v>90</v>
      </c>
      <c r="K157" s="3" t="n">
        <v>300</v>
      </c>
      <c r="L157" s="3" t="s">
        <v>114</v>
      </c>
      <c r="M157" s="3" t="s">
        <v>53</v>
      </c>
      <c r="N157" s="3" t="s">
        <v>47</v>
      </c>
      <c r="O157" s="3" t="s">
        <v>65</v>
      </c>
      <c r="P157" s="3" t="s">
        <v>89</v>
      </c>
      <c r="Q157" s="3" t="s">
        <v>50</v>
      </c>
      <c r="R157" s="3" t="s">
        <v>58</v>
      </c>
      <c r="S157" s="3" t="s">
        <v>78</v>
      </c>
      <c r="T157" s="3" t="s">
        <v>53</v>
      </c>
      <c r="U157" s="3" t="s">
        <v>47</v>
      </c>
      <c r="V157" s="4" t="s">
        <v>348</v>
      </c>
      <c r="W157" s="28" t="n">
        <v>24.1</v>
      </c>
      <c r="X157" s="2"/>
      <c r="Y157" s="2"/>
      <c r="Z157" s="2"/>
      <c r="AA157" s="2"/>
      <c r="AB157" s="2"/>
      <c r="AC157" s="2"/>
      <c r="AD157" s="2"/>
      <c r="AE157" s="2"/>
      <c r="AF157" s="2"/>
    </row>
    <row r="158" s="30" customFormat="true" ht="31.5" hidden="false" customHeight="false" outlineLevel="0" collapsed="false">
      <c r="A158" s="2"/>
      <c r="B158" s="2" t="s">
        <v>345</v>
      </c>
      <c r="C158" s="3" t="s">
        <v>346</v>
      </c>
      <c r="D158" s="3" t="n">
        <v>2019</v>
      </c>
      <c r="E158" s="20" t="s">
        <v>347</v>
      </c>
      <c r="F158" s="3" t="s">
        <v>62</v>
      </c>
      <c r="G158" s="3" t="s">
        <v>58</v>
      </c>
      <c r="H158" s="3" t="s">
        <v>47</v>
      </c>
      <c r="I158" s="3" t="s">
        <v>53</v>
      </c>
      <c r="J158" s="3" t="n">
        <v>28</v>
      </c>
      <c r="K158" s="3" t="n">
        <v>300</v>
      </c>
      <c r="L158" s="3" t="s">
        <v>114</v>
      </c>
      <c r="M158" s="3" t="s">
        <v>53</v>
      </c>
      <c r="N158" s="3" t="s">
        <v>47</v>
      </c>
      <c r="O158" s="3" t="s">
        <v>65</v>
      </c>
      <c r="P158" s="3" t="s">
        <v>89</v>
      </c>
      <c r="Q158" s="3" t="s">
        <v>50</v>
      </c>
      <c r="R158" s="3" t="s">
        <v>58</v>
      </c>
      <c r="S158" s="3" t="s">
        <v>78</v>
      </c>
      <c r="T158" s="3" t="s">
        <v>53</v>
      </c>
      <c r="U158" s="3" t="s">
        <v>47</v>
      </c>
      <c r="V158" s="4" t="s">
        <v>348</v>
      </c>
      <c r="W158" s="28" t="n">
        <f aca="false">'EIME data'!G9</f>
        <v>28.4</v>
      </c>
      <c r="X158" s="2"/>
      <c r="Y158" s="2"/>
      <c r="Z158" s="2"/>
      <c r="AA158" s="2"/>
      <c r="AB158" s="2"/>
      <c r="AC158" s="2"/>
      <c r="AD158" s="2"/>
      <c r="AE158" s="2"/>
      <c r="AF158" s="2"/>
    </row>
    <row r="159" s="30" customFormat="true" ht="31.5" hidden="false" customHeight="false" outlineLevel="0" collapsed="false">
      <c r="A159" s="2"/>
      <c r="B159" s="2" t="s">
        <v>345</v>
      </c>
      <c r="C159" s="3" t="s">
        <v>346</v>
      </c>
      <c r="D159" s="3" t="n">
        <v>2019</v>
      </c>
      <c r="E159" s="20" t="s">
        <v>347</v>
      </c>
      <c r="F159" s="3" t="s">
        <v>62</v>
      </c>
      <c r="G159" s="3" t="s">
        <v>58</v>
      </c>
      <c r="H159" s="3" t="s">
        <v>47</v>
      </c>
      <c r="I159" s="3" t="s">
        <v>53</v>
      </c>
      <c r="J159" s="3" t="n">
        <v>16</v>
      </c>
      <c r="K159" s="3" t="n">
        <v>300</v>
      </c>
      <c r="L159" s="3" t="s">
        <v>114</v>
      </c>
      <c r="M159" s="3" t="s">
        <v>53</v>
      </c>
      <c r="N159" s="3" t="s">
        <v>47</v>
      </c>
      <c r="O159" s="3" t="s">
        <v>65</v>
      </c>
      <c r="P159" s="3" t="s">
        <v>89</v>
      </c>
      <c r="Q159" s="3" t="s">
        <v>50</v>
      </c>
      <c r="R159" s="3" t="s">
        <v>58</v>
      </c>
      <c r="S159" s="3" t="s">
        <v>78</v>
      </c>
      <c r="T159" s="3" t="s">
        <v>53</v>
      </c>
      <c r="U159" s="3" t="s">
        <v>47</v>
      </c>
      <c r="V159" s="4" t="s">
        <v>348</v>
      </c>
      <c r="W159" s="28" t="n">
        <f aca="false">'EIME data'!G10</f>
        <v>29.6</v>
      </c>
      <c r="X159" s="2"/>
      <c r="Y159" s="2"/>
      <c r="Z159" s="2"/>
      <c r="AA159" s="2"/>
      <c r="AB159" s="2"/>
      <c r="AC159" s="2"/>
      <c r="AD159" s="2"/>
      <c r="AE159" s="2"/>
      <c r="AF159" s="2"/>
    </row>
    <row r="160" s="30" customFormat="true" ht="31.5" hidden="false" customHeight="false" outlineLevel="0" collapsed="false">
      <c r="A160" s="2"/>
      <c r="B160" s="2" t="s">
        <v>345</v>
      </c>
      <c r="C160" s="3" t="s">
        <v>346</v>
      </c>
      <c r="D160" s="3" t="n">
        <v>2019</v>
      </c>
      <c r="E160" s="20" t="s">
        <v>347</v>
      </c>
      <c r="F160" s="3" t="s">
        <v>62</v>
      </c>
      <c r="G160" s="3" t="s">
        <v>58</v>
      </c>
      <c r="H160" s="3" t="s">
        <v>47</v>
      </c>
      <c r="I160" s="3" t="s">
        <v>53</v>
      </c>
      <c r="J160" s="3" t="n">
        <v>14</v>
      </c>
      <c r="K160" s="3" t="n">
        <v>300</v>
      </c>
      <c r="L160" s="3" t="s">
        <v>114</v>
      </c>
      <c r="M160" s="3" t="s">
        <v>53</v>
      </c>
      <c r="N160" s="3" t="s">
        <v>47</v>
      </c>
      <c r="O160" s="3" t="s">
        <v>65</v>
      </c>
      <c r="P160" s="3" t="s">
        <v>89</v>
      </c>
      <c r="Q160" s="3" t="s">
        <v>50</v>
      </c>
      <c r="R160" s="3" t="s">
        <v>58</v>
      </c>
      <c r="S160" s="3" t="s">
        <v>78</v>
      </c>
      <c r="T160" s="3" t="s">
        <v>53</v>
      </c>
      <c r="U160" s="3" t="s">
        <v>47</v>
      </c>
      <c r="V160" s="4" t="s">
        <v>348</v>
      </c>
      <c r="W160" s="28" t="n">
        <f aca="false">'EIME data'!G11</f>
        <v>30.4</v>
      </c>
      <c r="X160" s="2"/>
      <c r="Y160" s="2"/>
      <c r="Z160" s="2"/>
      <c r="AA160" s="2"/>
      <c r="AB160" s="2"/>
      <c r="AC160" s="2"/>
      <c r="AD160" s="2"/>
      <c r="AE160" s="2"/>
      <c r="AF160" s="2"/>
    </row>
    <row r="161" s="30" customFormat="true" ht="31.5" hidden="false" customHeight="false" outlineLevel="0" collapsed="false">
      <c r="A161" s="2"/>
      <c r="B161" s="2" t="s">
        <v>345</v>
      </c>
      <c r="C161" s="3" t="s">
        <v>346</v>
      </c>
      <c r="D161" s="3" t="n">
        <v>2019</v>
      </c>
      <c r="E161" s="20" t="s">
        <v>347</v>
      </c>
      <c r="F161" s="3" t="s">
        <v>62</v>
      </c>
      <c r="G161" s="3" t="s">
        <v>58</v>
      </c>
      <c r="H161" s="3" t="s">
        <v>47</v>
      </c>
      <c r="I161" s="3" t="s">
        <v>53</v>
      </c>
      <c r="J161" s="3" t="n">
        <v>12</v>
      </c>
      <c r="K161" s="3" t="n">
        <v>300</v>
      </c>
      <c r="L161" s="3" t="s">
        <v>114</v>
      </c>
      <c r="M161" s="3" t="s">
        <v>53</v>
      </c>
      <c r="N161" s="3" t="s">
        <v>47</v>
      </c>
      <c r="O161" s="3" t="s">
        <v>65</v>
      </c>
      <c r="P161" s="3" t="s">
        <v>89</v>
      </c>
      <c r="Q161" s="3" t="s">
        <v>50</v>
      </c>
      <c r="R161" s="3" t="s">
        <v>58</v>
      </c>
      <c r="S161" s="3" t="s">
        <v>78</v>
      </c>
      <c r="T161" s="3" t="s">
        <v>53</v>
      </c>
      <c r="U161" s="3" t="s">
        <v>47</v>
      </c>
      <c r="V161" s="4" t="s">
        <v>348</v>
      </c>
      <c r="W161" s="28" t="n">
        <f aca="false">'EIME data'!G12</f>
        <v>31.9</v>
      </c>
      <c r="X161" s="2"/>
      <c r="Y161" s="2"/>
      <c r="Z161" s="2"/>
      <c r="AA161" s="2"/>
      <c r="AB161" s="2"/>
      <c r="AC161" s="2"/>
      <c r="AD161" s="2"/>
      <c r="AE161" s="2"/>
      <c r="AF161" s="2"/>
    </row>
    <row r="162" s="30" customFormat="true" ht="31.5" hidden="false" customHeight="false" outlineLevel="0" collapsed="false">
      <c r="A162" s="2"/>
      <c r="B162" s="2" t="s">
        <v>345</v>
      </c>
      <c r="C162" s="3" t="s">
        <v>346</v>
      </c>
      <c r="D162" s="3" t="n">
        <v>2019</v>
      </c>
      <c r="E162" s="20" t="s">
        <v>347</v>
      </c>
      <c r="F162" s="3" t="s">
        <v>62</v>
      </c>
      <c r="G162" s="3" t="s">
        <v>58</v>
      </c>
      <c r="H162" s="3" t="s">
        <v>47</v>
      </c>
      <c r="I162" s="3" t="s">
        <v>53</v>
      </c>
      <c r="J162" s="3" t="n">
        <v>8</v>
      </c>
      <c r="K162" s="3" t="n">
        <v>300</v>
      </c>
      <c r="L162" s="3" t="s">
        <v>114</v>
      </c>
      <c r="M162" s="3" t="s">
        <v>53</v>
      </c>
      <c r="N162" s="3" t="s">
        <v>47</v>
      </c>
      <c r="O162" s="3" t="s">
        <v>65</v>
      </c>
      <c r="P162" s="3" t="s">
        <v>89</v>
      </c>
      <c r="Q162" s="3" t="s">
        <v>50</v>
      </c>
      <c r="R162" s="3" t="s">
        <v>58</v>
      </c>
      <c r="S162" s="3" t="s">
        <v>78</v>
      </c>
      <c r="T162" s="3" t="s">
        <v>53</v>
      </c>
      <c r="U162" s="3" t="s">
        <v>47</v>
      </c>
      <c r="V162" s="4" t="s">
        <v>348</v>
      </c>
      <c r="W162" s="28" t="n">
        <f aca="false">'EIME data'!G13</f>
        <v>33.4</v>
      </c>
      <c r="X162" s="2"/>
      <c r="Y162" s="2"/>
      <c r="Z162" s="2"/>
      <c r="AA162" s="2"/>
      <c r="AB162" s="2"/>
      <c r="AC162" s="2"/>
      <c r="AD162" s="2"/>
      <c r="AE162" s="2"/>
      <c r="AF162" s="2"/>
    </row>
    <row r="163" s="30" customFormat="true" ht="31.5" hidden="false" customHeight="false" outlineLevel="0" collapsed="false">
      <c r="A163" s="2"/>
      <c r="B163" s="2" t="s">
        <v>345</v>
      </c>
      <c r="C163" s="3" t="s">
        <v>346</v>
      </c>
      <c r="D163" s="3" t="n">
        <v>2019</v>
      </c>
      <c r="E163" s="20" t="s">
        <v>347</v>
      </c>
      <c r="F163" s="3" t="s">
        <v>62</v>
      </c>
      <c r="G163" s="3" t="s">
        <v>58</v>
      </c>
      <c r="H163" s="3" t="s">
        <v>47</v>
      </c>
      <c r="I163" s="3" t="s">
        <v>53</v>
      </c>
      <c r="J163" s="3" t="n">
        <v>7</v>
      </c>
      <c r="K163" s="3" t="n">
        <v>300</v>
      </c>
      <c r="L163" s="3" t="s">
        <v>114</v>
      </c>
      <c r="M163" s="3" t="s">
        <v>53</v>
      </c>
      <c r="N163" s="3" t="s">
        <v>47</v>
      </c>
      <c r="O163" s="3" t="s">
        <v>65</v>
      </c>
      <c r="P163" s="3" t="s">
        <v>89</v>
      </c>
      <c r="Q163" s="3" t="s">
        <v>50</v>
      </c>
      <c r="R163" s="3" t="s">
        <v>58</v>
      </c>
      <c r="S163" s="3" t="s">
        <v>78</v>
      </c>
      <c r="T163" s="3" t="s">
        <v>53</v>
      </c>
      <c r="U163" s="3" t="s">
        <v>47</v>
      </c>
      <c r="V163" s="4" t="s">
        <v>348</v>
      </c>
      <c r="W163" s="28" t="n">
        <f aca="false">'EIME data'!G14</f>
        <v>34.6</v>
      </c>
      <c r="X163" s="2"/>
      <c r="Y163" s="2"/>
      <c r="Z163" s="2"/>
      <c r="AA163" s="2"/>
      <c r="AB163" s="2"/>
      <c r="AC163" s="2"/>
      <c r="AD163" s="2"/>
      <c r="AE163" s="2"/>
      <c r="AF163" s="2"/>
    </row>
    <row r="164" s="47" customFormat="true" ht="15.75" hidden="false" customHeight="false" outlineLevel="0" collapsed="false">
      <c r="A164" s="40"/>
      <c r="B164" s="40"/>
      <c r="C164" s="42"/>
      <c r="D164" s="42"/>
      <c r="E164" s="43"/>
      <c r="F164" s="42"/>
      <c r="G164" s="42"/>
      <c r="H164" s="42"/>
      <c r="I164" s="42"/>
      <c r="J164" s="42"/>
      <c r="K164" s="42"/>
      <c r="L164" s="42"/>
      <c r="M164" s="42"/>
      <c r="N164" s="42"/>
      <c r="O164" s="42"/>
      <c r="P164" s="42"/>
      <c r="Q164" s="42"/>
      <c r="R164" s="42"/>
      <c r="S164" s="42"/>
      <c r="T164" s="42"/>
      <c r="U164" s="42"/>
      <c r="V164" s="44"/>
      <c r="W164" s="45"/>
      <c r="X164" s="40"/>
      <c r="Y164" s="40"/>
      <c r="Z164" s="40"/>
      <c r="AA164" s="40"/>
      <c r="AB164" s="40"/>
      <c r="AC164" s="40"/>
      <c r="AD164" s="40"/>
      <c r="AE164" s="40"/>
      <c r="AF164" s="40"/>
    </row>
    <row r="165" s="30" customFormat="true" ht="157.5" hidden="false" customHeight="false" outlineLevel="0" collapsed="false">
      <c r="A165" s="2"/>
      <c r="B165" s="2" t="s">
        <v>349</v>
      </c>
      <c r="C165" s="3" t="s">
        <v>349</v>
      </c>
      <c r="D165" s="32" t="n">
        <v>2016</v>
      </c>
      <c r="E165" s="20" t="s">
        <v>350</v>
      </c>
      <c r="F165" s="3" t="s">
        <v>62</v>
      </c>
      <c r="G165" s="3" t="s">
        <v>46</v>
      </c>
      <c r="H165" s="3" t="s">
        <v>47</v>
      </c>
      <c r="I165" s="3" t="s">
        <v>47</v>
      </c>
      <c r="J165" s="32" t="s">
        <v>75</v>
      </c>
      <c r="K165" s="32" t="s">
        <v>351</v>
      </c>
      <c r="L165" s="32" t="s">
        <v>90</v>
      </c>
      <c r="M165" s="32" t="s">
        <v>78</v>
      </c>
      <c r="N165" s="32" t="s">
        <v>82</v>
      </c>
      <c r="O165" s="3" t="s">
        <v>352</v>
      </c>
      <c r="P165" s="3" t="s">
        <v>89</v>
      </c>
      <c r="Q165" s="3" t="s">
        <v>454</v>
      </c>
      <c r="R165" s="32" t="s">
        <v>53</v>
      </c>
      <c r="S165" s="3" t="s">
        <v>73</v>
      </c>
      <c r="T165" s="3" t="s">
        <v>47</v>
      </c>
      <c r="U165" s="3" t="s">
        <v>53</v>
      </c>
      <c r="V165" s="4" t="s">
        <v>353</v>
      </c>
      <c r="W165" s="28" t="n">
        <f aca="false">'EcoInvent data'!H23</f>
        <v>62.2222222222222</v>
      </c>
      <c r="X165" s="2"/>
      <c r="Y165" s="2"/>
      <c r="Z165" s="2"/>
      <c r="AA165" s="2"/>
      <c r="AB165" s="2"/>
      <c r="AC165" s="2"/>
      <c r="AD165" s="2"/>
      <c r="AE165" s="2"/>
      <c r="AF165" s="2"/>
    </row>
    <row r="166" s="24" customFormat="true" ht="15.75" hidden="false" customHeight="false" outlineLevel="0" collapsed="false">
      <c r="A166" s="76"/>
      <c r="V166" s="79"/>
      <c r="W166" s="25"/>
      <c r="AE166" s="79"/>
    </row>
    <row r="1048576" customFormat="false" ht="12.8" hidden="false" customHeight="false" outlineLevel="0" collapsed="false"/>
  </sheetData>
  <mergeCells count="1">
    <mergeCell ref="B2:W2"/>
  </mergeCells>
  <hyperlinks>
    <hyperlink ref="E6" r:id="rId1" display="https://ieeexplore.ieee.org/document/9372004/"/>
    <hyperlink ref="E7" r:id="rId2" display="https://ieeexplore.ieee.org/document/9372004/"/>
    <hyperlink ref="E8" r:id="rId3" display="https://ieeexplore.ieee.org/document/9372004/"/>
    <hyperlink ref="E9" r:id="rId4" display="https://ieeexplore.ieee.org/document/9372004/"/>
    <hyperlink ref="E10" r:id="rId5" display="https://ieeexplore.ieee.org/document/9372004/"/>
    <hyperlink ref="E11" r:id="rId6" display="https://ieeexplore.ieee.org/document/9372004/"/>
    <hyperlink ref="E12" r:id="rId7" display="https://ieeexplore.ieee.org/document/9372004/"/>
    <hyperlink ref="E13" r:id="rId8" display="https://ieeexplore.ieee.org/document/9372004/"/>
    <hyperlink ref="E14" r:id="rId9" display="https://ieeexplore.ieee.org/document/9372004/"/>
    <hyperlink ref="E23" r:id="rId10" display="https://www.umweltbundesamt.de/publikationen/schaffung-einer-datenbasis-zur-ermittlung "/>
    <hyperlink ref="E25" r:id="rId11" display="https://citeseerx.ist.psu.edu/viewdoc/download?doi=10.1.1.118.6922&amp;rep=rep1&amp;type=pdf"/>
    <hyperlink ref="E26" r:id="rId12" display="https://citeseerx.ist.psu.edu/viewdoc/download?doi=10.1.1.118.6922&amp;rep=rep1&amp;type=pdf"/>
    <hyperlink ref="E27" r:id="rId13" display="https://citeseerx.ist.psu.edu/viewdoc/download?doi=10.1.1.118.6922&amp;rep=rep1&amp;type=pdf"/>
    <hyperlink ref="E28" r:id="rId14" display="https://citeseerx.ist.psu.edu/viewdoc/download?doi=10.1.1.118.6922&amp;rep=rep1&amp;type=pdf"/>
    <hyperlink ref="E29" r:id="rId15" display="https://citeseerx.ist.psu.edu/viewdoc/download?doi=10.1.1.118.6922&amp;rep=rep1&amp;type=pdf"/>
    <hyperlink ref="E30" r:id="rId16" display="https://citeseerx.ist.psu.edu/viewdoc/download?doi=10.1.1.118.6922&amp;rep=rep1&amp;type=pdf"/>
    <hyperlink ref="E31" r:id="rId17" display="https://citeseerx.ist.psu.edu/viewdoc/download?doi=10.1.1.118.6922&amp;rep=rep1&amp;type=pdf"/>
    <hyperlink ref="E32" r:id="rId18" display="https://citeseerx.ist.psu.edu/viewdoc/download?doi=10.1.1.118.6922&amp;rep=rep1&amp;type=pdf"/>
    <hyperlink ref="E33" r:id="rId19" display="https://citeseerx.ist.psu.edu/viewdoc/download?doi=10.1.1.118.6922&amp;rep=rep1&amp;type=pdf"/>
    <hyperlink ref="E34" r:id="rId20" display="https://citeseerx.ist.psu.edu/viewdoc/download?doi=10.1.1.118.6922&amp;rep=rep1&amp;type=pdf"/>
    <hyperlink ref="E35" r:id="rId21" display="https://citeseerx.ist.psu.edu/viewdoc/download?doi=10.1.1.118.6922&amp;rep=rep1&amp;type=pdf"/>
    <hyperlink ref="E36" r:id="rId22" display="https://citeseerx.ist.psu.edu/viewdoc/download?doi=10.1.1.118.6922&amp;rep=rep1&amp;type=pdf"/>
    <hyperlink ref="E37" r:id="rId23" display="https://citeseerx.ist.psu.edu/viewdoc/download?doi=10.1.1.118.6922&amp;rep=rep1&amp;type=pdf"/>
    <hyperlink ref="E38" r:id="rId24" display="https://citeseerx.ist.psu.edu/viewdoc/download?doi=10.1.1.118.6922&amp;rep=rep1&amp;type=pdf"/>
    <hyperlink ref="E39" r:id="rId25" display="https://citeseerx.ist.psu.edu/viewdoc/download?doi=10.1.1.118.6922&amp;rep=rep1&amp;type=pdf"/>
    <hyperlink ref="E40" r:id="rId26" display="https://citeseerx.ist.psu.edu/viewdoc/download?doi=10.1.1.118.6922&amp;rep=rep1&amp;type=pdf"/>
    <hyperlink ref="E41" r:id="rId27" display="https://citeseerx.ist.psu.edu/viewdoc/download?doi=10.1.1.118.6922&amp;rep=rep1&amp;type=pdf"/>
    <hyperlink ref="E42" r:id="rId28" display="https://citeseerx.ist.psu.edu/viewdoc/download?doi=10.1.1.118.6922&amp;rep=rep1&amp;type=pdf"/>
    <hyperlink ref="E43" r:id="rId29" display="https://citeseerx.ist.psu.edu/viewdoc/download?doi=10.1.1.118.6922&amp;rep=rep1&amp;type=pdf"/>
    <hyperlink ref="E44" r:id="rId30" display="https://citeseerx.ist.psu.edu/viewdoc/download?doi=10.1.1.118.6922&amp;rep=rep1&amp;type=pdf"/>
    <hyperlink ref="E45" r:id="rId31" display="https://citeseerx.ist.psu.edu/viewdoc/download?doi=10.1.1.118.6922&amp;rep=rep1&amp;type=pdf"/>
    <hyperlink ref="E46" r:id="rId32" display="https://citeseerx.ist.psu.edu/viewdoc/download?doi=10.1.1.118.6922&amp;rep=rep1&amp;type=pdf"/>
    <hyperlink ref="E47" r:id="rId33" display="https://citeseerx.ist.psu.edu/viewdoc/download?doi=10.1.1.118.6922&amp;rep=rep1&amp;type=pdf"/>
    <hyperlink ref="E48" r:id="rId34" display="https://citeseerx.ist.psu.edu/viewdoc/download?doi=10.1.1.118.6922&amp;rep=rep1&amp;type=pdf"/>
    <hyperlink ref="E49" r:id="rId35" display="https://citeseerx.ist.psu.edu/viewdoc/download?doi=10.1.1.118.6922&amp;rep=rep1&amp;type=pdf"/>
    <hyperlink ref="E50" r:id="rId36" display="https://citeseerx.ist.psu.edu/viewdoc/download?doi=10.1.1.118.6922&amp;rep=rep1&amp;type=pdf"/>
    <hyperlink ref="E51" r:id="rId37" display="https://citeseerx.ist.psu.edu/viewdoc/download?doi=10.1.1.118.6922&amp;rep=rep1&amp;type=pdf"/>
    <hyperlink ref="E52" r:id="rId38" display="https://citeseerx.ist.psu.edu/viewdoc/download?doi=10.1.1.118.6922&amp;rep=rep1&amp;type=pdf"/>
    <hyperlink ref="E53" r:id="rId39" display="https://citeseerx.ist.psu.edu/viewdoc/download?doi=10.1.1.118.6922&amp;rep=rep1&amp;type=pdf"/>
    <hyperlink ref="E54" r:id="rId40" display="https://citeseerx.ist.psu.edu/viewdoc/download?doi=10.1.1.118.6922&amp;rep=rep1&amp;type=pdf"/>
    <hyperlink ref="E55" r:id="rId41" display="https://citeseerx.ist.psu.edu/viewdoc/download?doi=10.1.1.118.6922&amp;rep=rep1&amp;type=pdf"/>
    <hyperlink ref="E56" r:id="rId42" display="https://citeseerx.ist.psu.edu/viewdoc/download?doi=10.1.1.118.6922&amp;rep=rep1&amp;type=pdf"/>
    <hyperlink ref="E57" r:id="rId43" display="https://citeseerx.ist.psu.edu/viewdoc/download?doi=10.1.1.118.6922&amp;rep=rep1&amp;type=pdf"/>
    <hyperlink ref="E58" r:id="rId44" display="https://citeseerx.ist.psu.edu/viewdoc/download?doi=10.1.1.118.6922&amp;rep=rep1&amp;type=pdf"/>
    <hyperlink ref="E59" r:id="rId45" display="https://citeseerx.ist.psu.edu/viewdoc/download?doi=10.1.1.118.6922&amp;rep=rep1&amp;type=pdf"/>
    <hyperlink ref="E60" r:id="rId46" display="https://citeseerx.ist.psu.edu/viewdoc/download?doi=10.1.1.118.6922&amp;rep=rep1&amp;type=pdf"/>
    <hyperlink ref="E61" r:id="rId47" display="https://citeseerx.ist.psu.edu/viewdoc/download?doi=10.1.1.118.6922&amp;rep=rep1&amp;type=pdf"/>
    <hyperlink ref="E62" r:id="rId48" display="https://citeseerx.ist.psu.edu/viewdoc/download?doi=10.1.1.118.6922&amp;rep=rep1&amp;type=pdf"/>
    <hyperlink ref="E63" r:id="rId49" display="https://citeseerx.ist.psu.edu/viewdoc/download?doi=10.1.1.118.6922&amp;rep=rep1&amp;type=pdf"/>
    <hyperlink ref="E64" r:id="rId50" display="https://citeseerx.ist.psu.edu/viewdoc/download?doi=10.1.1.118.6922&amp;rep=rep1&amp;type=pdf"/>
    <hyperlink ref="E65" r:id="rId51" display="https://citeseerx.ist.psu.edu/viewdoc/download?doi=10.1.1.118.6922&amp;rep=rep1&amp;type=pdf"/>
    <hyperlink ref="E66" r:id="rId52" display="https://citeseerx.ist.psu.edu/viewdoc/download?doi=10.1.1.118.6922&amp;rep=rep1&amp;type=pdf"/>
    <hyperlink ref="E67" r:id="rId53" display="https://doi.org/10.1021/es025643o"/>
    <hyperlink ref="E68" r:id="rId54" display="https://doi.org/10.1021/es025643o"/>
    <hyperlink ref="E69" r:id="rId55" display="https://doi.org/10.1021/es025643o"/>
    <hyperlink ref="E70" r:id="rId56" display="https://doi.org/10.1021/es025643o"/>
    <hyperlink ref="E71" r:id="rId57" display="https://doi.org/10.1021/es025643o"/>
    <hyperlink ref="E72" r:id="rId58" display="https://doi.org/10.1021/es025643o"/>
    <hyperlink ref="E73" r:id="rId59" display="http://hdl.handle.net/1721.1/46056"/>
    <hyperlink ref="E74" r:id="rId60" display="http://hdl.handle.net/1721.1/46057"/>
    <hyperlink ref="E75" r:id="rId61" display="http://hdl.handle.net/1721.1/46058"/>
    <hyperlink ref="E76" r:id="rId62" display="http://hdl.handle.net/1721.1/46059"/>
    <hyperlink ref="E78" r:id="rId63" display="Link"/>
    <hyperlink ref="E79" r:id="rId64" display="Link"/>
    <hyperlink ref="E80" r:id="rId65" display="Link"/>
    <hyperlink ref="E81" r:id="rId66" display="Link"/>
    <hyperlink ref="E82" r:id="rId67" display="Link"/>
    <hyperlink ref="E83" r:id="rId68" display="Link"/>
    <hyperlink ref="E84" r:id="rId69" display="Link"/>
    <hyperlink ref="E86" r:id="rId70" display="Link"/>
    <hyperlink ref="E87" r:id="rId71" display="Link"/>
    <hyperlink ref="E88" r:id="rId72" display="Link"/>
    <hyperlink ref="E89" r:id="rId73" display="Link"/>
    <hyperlink ref="E90" r:id="rId74" display="Link"/>
    <hyperlink ref="E91" r:id="rId75" display="Link"/>
    <hyperlink ref="E92" r:id="rId76" display="Link"/>
    <hyperlink ref="E93" r:id="rId77" display="Link"/>
    <hyperlink ref="E94" r:id="rId78" display="Link"/>
    <hyperlink ref="E95" r:id="rId79" display="Link"/>
    <hyperlink ref="E96" r:id="rId80" display="Link"/>
    <hyperlink ref="E98" r:id="rId81" display="Link"/>
    <hyperlink ref="E99" r:id="rId82" display="Link"/>
    <hyperlink ref="E100" r:id="rId83" display="Link"/>
    <hyperlink ref="E101" r:id="rId84" display="Link"/>
    <hyperlink ref="E102" r:id="rId85" display="Link"/>
    <hyperlink ref="E103" r:id="rId86" display="Link"/>
    <hyperlink ref="E104" r:id="rId87" display="Link"/>
    <hyperlink ref="E105" r:id="rId88" display="Link"/>
    <hyperlink ref="E106" r:id="rId89" display="Link"/>
    <hyperlink ref="E107" r:id="rId90" display="Link"/>
    <hyperlink ref="E109" r:id="rId91" display="https://www.smics.com/uploads/1_&amp;e4&amp;b8&amp;ad&amp;e8&amp;8a&amp;af&amp;e5&amp;9b&amp;bd&amp;e9&amp;99&amp;85&amp;e7&amp;a4&amp;be&amp;e4&amp;bc&amp;9a&amp;e8&amp;b4&amp;a3&amp;e4&amp;bb&amp;bb&amp;e6&amp;8a&amp;a5&amp;e5&amp;91&amp;8a-&amp;e8&amp;8b&amp;b1&amp;e6&amp;96&amp;87&amp;e6&amp;8c&amp;82&amp;e7&amp;bd&amp;91&amp;e7&amp;89&amp;887.26-5.pdf"/>
    <hyperlink ref="E110" r:id="rId92" display="https://www.smics.com/uploads/2019%20SMIC%20CSR%20Report%20Final-&amp;e8&amp;8b&amp;b1&amp;e6&amp;96&amp;87.pdf"/>
    <hyperlink ref="E111" r:id="rId93" display="https://www.smics.com/uploads/2018%20CSR%20Report-EN.pdf"/>
    <hyperlink ref="E112" r:id="rId94" display="https://www.smics.com/uploads/2017%20SMIC%20CSR%20Report%20_EN.pdf"/>
    <hyperlink ref="E113" r:id="rId95" display="https://www.smics.com/uploads/2016_SMIC_CSR_Report.pdf"/>
    <hyperlink ref="E115" r:id="rId96" display="https://www.globalfoundries.com/sites/default/files/2021-01/gf_2020_csr_report.pdf"/>
    <hyperlink ref="E116" r:id="rId97" display="https://gf.com/sites/default/files/gf_crr19_0808_final_2.pdf"/>
    <hyperlink ref="E117" r:id="rId98" display="https://gf.com/sites/default/files/gf_crr18_1219a.pdf"/>
    <hyperlink ref="E118" r:id="rId99" display="https://gf.com/sites/default/files/globalfoundries-2017-csr-report-final.pdf"/>
    <hyperlink ref="E119" r:id="rId100" display="https://gf.com/sites/default/files/gf-2016-csr-report-12-21-16.pdf"/>
    <hyperlink ref="E120" r:id="rId101" display="https://gf.com/sites/default/files/gf-2016-csr-report-12-21-16.pdf"/>
    <hyperlink ref="E121" r:id="rId102" display="https://gf.com/sites/default/files/globalfoundries-corporate-responsibility-report-9-23-final.pdf"/>
    <hyperlink ref="E122" r:id="rId103" display="https://gf.com/sites/default/files/globalfoundries-corporate-responsibility-report-9-23-final.pdf"/>
    <hyperlink ref="E123" r:id="rId104" display="https://gf.com/sites/default/files/2012-corporate-responsibility-report.pdf"/>
    <hyperlink ref="E124" r:id="rId105" display="https://gf.com/sites/default/files/2012-corporate-responsibility-report.pdf"/>
    <hyperlink ref="E126" r:id="rId106" display="https://eps.ieee.org/images/files/Roadmap/ITRSESH2015.pdf "/>
    <hyperlink ref="E127" r:id="rId107" display="https://eps.ieee.org/images/files/Roadmap/ITRSESH2015.pdf "/>
    <hyperlink ref="E128" r:id="rId108" display="https://eps.ieee.org/images/files/Roadmap/ITRSESH2015.pdf "/>
    <hyperlink ref="E129" r:id="rId109" display="https://eps.ieee.org/images/files/Roadmap/ITRSESH2015.pdf "/>
    <hyperlink ref="E130" r:id="rId110" display="https://eps.ieee.org/images/files/Roadmap/ITRSESH2015.pdf "/>
    <hyperlink ref="E131" r:id="rId111" display="https://eps.ieee.org/images/files/Roadmap/ITRSESH2015.pdf "/>
    <hyperlink ref="E132" r:id="rId112" display="https://eps.ieee.org/images/files/Roadmap/ITRSESH2015.pdf "/>
    <hyperlink ref="E133" r:id="rId113" display="https://eps.ieee.org/images/files/Roadmap/ITRSESH2015.pdf "/>
    <hyperlink ref="E134" r:id="rId114" display="https://eps.ieee.org/images/files/Roadmap/ITRSESH2015.pdf "/>
    <hyperlink ref="E135" r:id="rId115" display="https://eps.ieee.org/images/files/Roadmap/ITRSESH2015.pdf "/>
    <hyperlink ref="E136" r:id="rId116" display="https://eps.ieee.org/images/files/Roadmap/ITRSESH2015.pdf "/>
    <hyperlink ref="E137" r:id="rId117" display="https://eps.ieee.org/images/files/Roadmap/ITRSESH2015.pdf "/>
    <hyperlink ref="E138" r:id="rId118" display="https://eps.ieee.org/images/files/Roadmap/ITRSESH2015.pdf "/>
    <hyperlink ref="E139" r:id="rId119" display="https://eps.ieee.org/images/files/Roadmap/ITRSESH2015.pdf "/>
    <hyperlink ref="E140" r:id="rId120" display="https://eps.ieee.org/images/files/Roadmap/ITRSESH2015.pdf "/>
    <hyperlink ref="E141" r:id="rId121" display="https://eps.ieee.org/images/files/Roadmap/ITRSESH2015.pdf "/>
    <hyperlink ref="E143" r:id="rId122" display="https://gabi.sphera.com/international/databases/gabi-databases/electronics/"/>
    <hyperlink ref="E144" r:id="rId123" display="https://gabi.sphera.com/international/databases/gabi-databases/electronics/"/>
    <hyperlink ref="E145" r:id="rId124" display="https://gabi.sphera.com/international/databases/gabi-databases/electronics/"/>
    <hyperlink ref="E146" r:id="rId125" display="https://gabi.sphera.com/international/databases/gabi-databases/electronics/"/>
    <hyperlink ref="E147" r:id="rId126" display="https://gabi.sphera.com/international/databases/gabi-databases/electronics/"/>
    <hyperlink ref="E148" r:id="rId127" display="https://gabi.sphera.com/international/databases/gabi-databases/electronics/"/>
    <hyperlink ref="E149" r:id="rId128" display="https://gabi.sphera.com/international/databases/gabi-databases/electronics/"/>
    <hyperlink ref="E150" r:id="rId129" display="https://gabi.sphera.com/international/databases/gabi-databases/electronics/"/>
    <hyperlink ref="E151" r:id="rId130" display="https://gabi.sphera.com/international/databases/gabi-databases/electronics/"/>
    <hyperlink ref="E152" r:id="rId131" display="https://gabi.sphera.com/international/databases/gabi-databases/electronics/"/>
    <hyperlink ref="E153" r:id="rId132" display="https://gabi.sphera.com/international/databases/gabi-databases/electronics/"/>
    <hyperlink ref="E154" r:id="rId133" display="https://gabi.sphera.com/international/databases/gabi-databases/electronics/"/>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DBDBDB"/>
    <pageSetUpPr fitToPage="false"/>
  </sheetPr>
  <dimension ref="A1:M2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C34" activeCellId="0" sqref="C34"/>
    </sheetView>
  </sheetViews>
  <sheetFormatPr defaultColWidth="8.5" defaultRowHeight="15.75" zeroHeight="false" outlineLevelRow="0" outlineLevelCol="0"/>
  <cols>
    <col collapsed="false" customWidth="true" hidden="false" outlineLevel="0" max="2" min="2" style="0" width="26.25"/>
    <col collapsed="false" customWidth="true" hidden="false" outlineLevel="0" max="3" min="3" style="0" width="24.13"/>
    <col collapsed="false" customWidth="true" hidden="false" outlineLevel="0" max="4" min="4" style="0" width="27.25"/>
    <col collapsed="false" customWidth="true" hidden="false" outlineLevel="0" max="5" min="5" style="0" width="18.87"/>
    <col collapsed="false" customWidth="true" hidden="false" outlineLevel="0" max="13" min="10" style="0" width="38.5"/>
  </cols>
  <sheetData>
    <row r="1" customFormat="false" ht="15.75" hidden="false" customHeight="false" outlineLevel="0" collapsed="false">
      <c r="B1" s="92" t="s">
        <v>508</v>
      </c>
      <c r="C1" s="0" t="s">
        <v>1405</v>
      </c>
    </row>
    <row r="2" s="111" customFormat="true" ht="15.75" hidden="false" customHeight="false" outlineLevel="0" collapsed="false">
      <c r="A2" s="111" t="s">
        <v>256</v>
      </c>
      <c r="E2" s="380"/>
    </row>
    <row r="3" s="89" customFormat="true" ht="15.75" hidden="false" customHeight="false" outlineLevel="0" collapsed="false">
      <c r="A3" s="89" t="s">
        <v>3</v>
      </c>
      <c r="B3" s="89" t="s">
        <v>1406</v>
      </c>
      <c r="C3" s="89" t="s">
        <v>1407</v>
      </c>
      <c r="D3" s="89" t="s">
        <v>1408</v>
      </c>
      <c r="E3" s="381" t="s">
        <v>1409</v>
      </c>
      <c r="F3" s="381"/>
      <c r="G3" s="381"/>
      <c r="H3" s="381"/>
      <c r="I3" s="381"/>
      <c r="J3" s="89" t="s">
        <v>1410</v>
      </c>
      <c r="K3" s="89" t="s">
        <v>1411</v>
      </c>
      <c r="L3" s="89" t="s">
        <v>1412</v>
      </c>
    </row>
    <row r="4" customFormat="false" ht="15.75" hidden="false" customHeight="false" outlineLevel="0" collapsed="false">
      <c r="E4" s="0" t="s">
        <v>1413</v>
      </c>
      <c r="F4" s="0" t="s">
        <v>1414</v>
      </c>
      <c r="G4" s="0" t="s">
        <v>1415</v>
      </c>
      <c r="H4" s="0" t="s">
        <v>1416</v>
      </c>
      <c r="I4" s="0" t="s">
        <v>1417</v>
      </c>
    </row>
    <row r="5" customFormat="false" ht="15.75" hidden="false" customHeight="false" outlineLevel="0" collapsed="false">
      <c r="A5" s="0" t="n">
        <v>2019</v>
      </c>
      <c r="B5" s="382" t="n">
        <f aca="false">GWP!W138</f>
        <v>0.781004582712984</v>
      </c>
      <c r="C5" s="382" t="n">
        <f aca="false">'Industries data'!G5</f>
        <v>0.218789393259425</v>
      </c>
      <c r="D5" s="383" t="n">
        <f aca="false">C5/B5*100</f>
        <v>28.0138424411562</v>
      </c>
      <c r="E5" s="384" t="n">
        <v>29.5</v>
      </c>
      <c r="F5" s="384" t="n">
        <v>193.3</v>
      </c>
      <c r="G5" s="384" t="n">
        <v>66.3</v>
      </c>
      <c r="H5" s="384" t="n">
        <v>20.8</v>
      </c>
      <c r="I5" s="384" t="n">
        <f aca="false">SUM(E5:H5)</f>
        <v>309.9</v>
      </c>
      <c r="J5" s="382" t="n">
        <f aca="false">I5*1000000/'Industries data'!AL5</f>
        <v>0.132236027489699</v>
      </c>
      <c r="K5" s="382" t="n">
        <f aca="false">J5/C5*100</f>
        <v>60.4398712020299</v>
      </c>
      <c r="L5" s="382" t="n">
        <f aca="false">J5/B5*100</f>
        <v>16.9315302901744</v>
      </c>
    </row>
    <row r="6" customFormat="false" ht="15.75" hidden="false" customHeight="false" outlineLevel="0" collapsed="false">
      <c r="A6" s="0" t="n">
        <v>2018</v>
      </c>
      <c r="B6" s="382" t="n">
        <f aca="false">GWP!W139</f>
        <v>0.84640372120574</v>
      </c>
      <c r="C6" s="382" t="n">
        <f aca="false">'Industries data'!G6</f>
        <v>0.257124115687921</v>
      </c>
      <c r="D6" s="383" t="n">
        <f aca="false">C6/B6*100</f>
        <v>30.3784245326375</v>
      </c>
      <c r="E6" s="384" t="n">
        <v>37.7</v>
      </c>
      <c r="F6" s="384" t="n">
        <v>255.2</v>
      </c>
      <c r="G6" s="384" t="n">
        <v>69.4</v>
      </c>
      <c r="H6" s="384" t="n">
        <v>32.1</v>
      </c>
      <c r="I6" s="384" t="n">
        <f aca="false">SUM(E6:H6)</f>
        <v>394.4</v>
      </c>
      <c r="J6" s="382" t="n">
        <f aca="false">I6*1000000/'Industries data'!AL6</f>
        <v>0.170271722210626</v>
      </c>
      <c r="K6" s="382" t="n">
        <f aca="false">J6/C6*100</f>
        <v>66.2216073179578</v>
      </c>
      <c r="L6" s="382" t="n">
        <f aca="false">J6/B6*100</f>
        <v>20.1170810033853</v>
      </c>
    </row>
    <row r="7" customFormat="false" ht="15.75" hidden="false" customHeight="false" outlineLevel="0" collapsed="false">
      <c r="A7" s="0" t="n">
        <v>2017</v>
      </c>
      <c r="B7" s="382" t="n">
        <f aca="false">GWP!W140</f>
        <v>0.876681637721982</v>
      </c>
      <c r="C7" s="382" t="n">
        <f aca="false">'Industries data'!G7</f>
        <v>0.270082072800755</v>
      </c>
      <c r="D7" s="383" t="n">
        <f aca="false">C7/B7*100</f>
        <v>30.8073148996882</v>
      </c>
      <c r="E7" s="384" t="n">
        <v>34.4</v>
      </c>
      <c r="F7" s="384" t="n">
        <v>251</v>
      </c>
      <c r="G7" s="384" t="n">
        <v>72.4</v>
      </c>
      <c r="H7" s="384" t="n">
        <v>47.9</v>
      </c>
      <c r="I7" s="384" t="n">
        <f aca="false">SUM(E7:H7)</f>
        <v>405.7</v>
      </c>
      <c r="J7" s="382" t="n">
        <f aca="false">I7*1000000/'Industries data'!AL7</f>
        <v>0.181423703196689</v>
      </c>
      <c r="K7" s="382" t="n">
        <f aca="false">J7/C7*100</f>
        <v>67.173545180294</v>
      </c>
      <c r="L7" s="382" t="n">
        <f aca="false">J7/B7*100</f>
        <v>20.6943655929775</v>
      </c>
    </row>
    <row r="8" customFormat="false" ht="15.75" hidden="false" customHeight="false" outlineLevel="0" collapsed="false">
      <c r="A8" s="0" t="n">
        <v>2016</v>
      </c>
      <c r="B8" s="382" t="n">
        <f aca="false">GWP!W141</f>
        <v>0.897915020011725</v>
      </c>
      <c r="C8" s="382" t="n">
        <f aca="false">'Industries data'!G8</f>
        <v>0.306844126663694</v>
      </c>
      <c r="D8" s="383" t="n">
        <f aca="false">C8/B8*100</f>
        <v>34.1729584454091</v>
      </c>
      <c r="E8" s="384" t="n">
        <v>36.6</v>
      </c>
      <c r="F8" s="384" t="n">
        <v>291.7</v>
      </c>
      <c r="G8" s="384" t="n">
        <v>92.2</v>
      </c>
      <c r="H8" s="384" t="n">
        <v>59</v>
      </c>
      <c r="I8" s="384" t="n">
        <v>420</v>
      </c>
      <c r="J8" s="382" t="n">
        <f aca="false">I8*1000000/'Industries data'!AL8</f>
        <v>0.209240097608527</v>
      </c>
      <c r="K8" s="382" t="n">
        <f aca="false">J8/C8*100</f>
        <v>68.191006255713</v>
      </c>
      <c r="L8" s="382" t="n">
        <f aca="false">J8/B8*100</f>
        <v>23.3028842312711</v>
      </c>
    </row>
    <row r="9" customFormat="false" ht="15.75" hidden="false" customHeight="false" outlineLevel="0" collapsed="false">
      <c r="A9" s="0" t="n">
        <v>2015</v>
      </c>
      <c r="B9" s="382" t="n">
        <f aca="false">GWP!W142</f>
        <v>0.928596702022692</v>
      </c>
      <c r="C9" s="382" t="n">
        <f aca="false">'Industries data'!G9</f>
        <v>0.322615889212831</v>
      </c>
      <c r="D9" s="383" t="n">
        <f aca="false">C9/B9*100</f>
        <v>34.7423040066911</v>
      </c>
      <c r="E9" s="384" t="n">
        <v>36.9</v>
      </c>
      <c r="F9" s="384" t="n">
        <v>260.7</v>
      </c>
      <c r="G9" s="384" t="n">
        <v>90.5</v>
      </c>
      <c r="H9" s="384" t="n">
        <v>46.6</v>
      </c>
      <c r="I9" s="384" t="n">
        <f aca="false">SUM(E9:H9)</f>
        <v>434.7</v>
      </c>
      <c r="J9" s="382" t="n">
        <f aca="false">I9*1000000/'Industries data'!AL9</f>
        <v>0.225678126488834</v>
      </c>
      <c r="K9" s="382" t="n">
        <f aca="false">J9/C9*100</f>
        <v>69.9525764336899</v>
      </c>
      <c r="L9" s="382" t="n">
        <f aca="false">J9/B9*100</f>
        <v>24.3031367651055</v>
      </c>
    </row>
    <row r="10" customFormat="false" ht="15.75" hidden="false" customHeight="false" outlineLevel="0" collapsed="false">
      <c r="A10" s="0" t="n">
        <v>2014</v>
      </c>
      <c r="B10" s="382" t="n">
        <f aca="false">GWP!W143</f>
        <v>1.01410962515065</v>
      </c>
      <c r="C10" s="382" t="n">
        <f aca="false">'Industries data'!G10</f>
        <v>0.344318458974223</v>
      </c>
      <c r="D10" s="383" t="n">
        <f aca="false">C10/B10*100</f>
        <v>33.9527848306412</v>
      </c>
      <c r="E10" s="384" t="n">
        <v>39.9</v>
      </c>
      <c r="F10" s="384" t="n">
        <v>258.1</v>
      </c>
      <c r="G10" s="384" t="n">
        <v>87</v>
      </c>
      <c r="H10" s="384" t="n">
        <v>61</v>
      </c>
      <c r="I10" s="384" t="n">
        <f aca="false">SUM(E10:H10)</f>
        <v>446</v>
      </c>
      <c r="J10" s="382" t="n">
        <f aca="false">I10*1000000/'Industries data'!AL10</f>
        <v>0.244337363090698</v>
      </c>
      <c r="K10" s="382" t="n">
        <f aca="false">J10/C10*100</f>
        <v>70.9626093874304</v>
      </c>
      <c r="L10" s="382" t="n">
        <f aca="false">J10/B10*100</f>
        <v>24.0937820755227</v>
      </c>
    </row>
    <row r="11" customFormat="false" ht="15.75" hidden="false" customHeight="false" outlineLevel="0" collapsed="false">
      <c r="B11" s="384"/>
      <c r="C11" s="384"/>
      <c r="D11" s="384"/>
      <c r="E11" s="384"/>
      <c r="F11" s="384"/>
      <c r="G11" s="384"/>
      <c r="H11" s="384"/>
      <c r="I11" s="384"/>
      <c r="J11" s="384"/>
      <c r="K11" s="384"/>
      <c r="L11" s="384"/>
    </row>
    <row r="12" customFormat="false" ht="15.75" hidden="false" customHeight="false" outlineLevel="0" collapsed="false">
      <c r="B12" s="384"/>
      <c r="C12" s="384"/>
      <c r="D12" s="384"/>
      <c r="E12" s="384"/>
      <c r="F12" s="384"/>
      <c r="G12" s="384"/>
      <c r="H12" s="384"/>
      <c r="I12" s="384"/>
      <c r="J12" s="384"/>
      <c r="K12" s="385" t="n">
        <f aca="false">AVERAGEA(K5:K10)</f>
        <v>67.1568692961858</v>
      </c>
      <c r="L12" s="386" t="n">
        <f aca="false">AVERAGEA(L5:L10)</f>
        <v>21.5737966597394</v>
      </c>
    </row>
    <row r="14" customFormat="false" ht="15.75" hidden="false" customHeight="false" outlineLevel="0" collapsed="false">
      <c r="B14" s="92" t="s">
        <v>508</v>
      </c>
      <c r="C14" s="220" t="s">
        <v>1418</v>
      </c>
    </row>
    <row r="15" s="111" customFormat="true" ht="15.75" hidden="false" customHeight="false" outlineLevel="0" collapsed="false">
      <c r="A15" s="111" t="s">
        <v>141</v>
      </c>
      <c r="B15" s="111" t="s">
        <v>1419</v>
      </c>
      <c r="J15" s="111" t="s">
        <v>1420</v>
      </c>
      <c r="K15" s="111" t="s">
        <v>1421</v>
      </c>
    </row>
    <row r="16" s="89" customFormat="true" ht="15.75" hidden="false" customHeight="false" outlineLevel="0" collapsed="false">
      <c r="A16" s="89" t="s">
        <v>1098</v>
      </c>
      <c r="B16" s="89" t="s">
        <v>1422</v>
      </c>
      <c r="J16" s="89" t="s">
        <v>1423</v>
      </c>
      <c r="K16" s="89" t="s">
        <v>1424</v>
      </c>
      <c r="L16" s="89" t="s">
        <v>1425</v>
      </c>
      <c r="M16" s="89" t="s">
        <v>1426</v>
      </c>
    </row>
    <row r="17" customFormat="false" ht="15.75" hidden="false" customHeight="false" outlineLevel="0" collapsed="false">
      <c r="A17" s="0" t="n">
        <v>28</v>
      </c>
      <c r="B17" s="0" t="n">
        <v>0.75</v>
      </c>
      <c r="J17" s="0" t="n">
        <v>0.18</v>
      </c>
      <c r="K17" s="0" t="n">
        <v>0.1</v>
      </c>
      <c r="L17" s="91" t="n">
        <f aca="false">J17/B17*100</f>
        <v>24</v>
      </c>
      <c r="M17" s="91" t="n">
        <f aca="false">K17/B17*100</f>
        <v>13.3333333333333</v>
      </c>
    </row>
    <row r="18" customFormat="false" ht="15.75" hidden="false" customHeight="false" outlineLevel="0" collapsed="false">
      <c r="A18" s="0" t="n">
        <v>20</v>
      </c>
      <c r="B18" s="0" t="n">
        <v>0.9</v>
      </c>
      <c r="J18" s="0" t="n">
        <v>0.19</v>
      </c>
      <c r="K18" s="0" t="n">
        <v>0.1</v>
      </c>
      <c r="L18" s="91" t="n">
        <f aca="false">J18/B18*100</f>
        <v>21.1111111111111</v>
      </c>
      <c r="M18" s="91" t="n">
        <f aca="false">K18/B18*100</f>
        <v>11.1111111111111</v>
      </c>
    </row>
    <row r="19" customFormat="false" ht="15.75" hidden="false" customHeight="false" outlineLevel="0" collapsed="false">
      <c r="A19" s="0" t="n">
        <v>14</v>
      </c>
      <c r="B19" s="0" t="n">
        <v>0.85</v>
      </c>
      <c r="J19" s="0" t="n">
        <v>0.2</v>
      </c>
      <c r="K19" s="0" t="n">
        <v>0.11</v>
      </c>
      <c r="L19" s="91" t="n">
        <f aca="false">J19/B19*100</f>
        <v>23.5294117647059</v>
      </c>
      <c r="M19" s="91" t="n">
        <f aca="false">K19/B19*100</f>
        <v>12.9411764705882</v>
      </c>
    </row>
    <row r="20" customFormat="false" ht="15.75" hidden="false" customHeight="false" outlineLevel="0" collapsed="false">
      <c r="A20" s="0" t="n">
        <v>10</v>
      </c>
      <c r="B20" s="0" t="n">
        <v>1.2</v>
      </c>
      <c r="J20" s="0" t="n">
        <v>0.23</v>
      </c>
      <c r="K20" s="0" t="n">
        <v>0.12</v>
      </c>
      <c r="L20" s="91" t="n">
        <f aca="false">J20/B20*100</f>
        <v>19.1666666666667</v>
      </c>
      <c r="M20" s="91" t="n">
        <f aca="false">K20/B20*100</f>
        <v>10</v>
      </c>
    </row>
    <row r="21" customFormat="false" ht="15.75" hidden="false" customHeight="false" outlineLevel="0" collapsed="false">
      <c r="A21" s="0" t="n">
        <v>8</v>
      </c>
      <c r="B21" s="0" t="n">
        <v>1.35</v>
      </c>
      <c r="J21" s="0" t="n">
        <v>0.29</v>
      </c>
      <c r="K21" s="0" t="n">
        <v>0.135</v>
      </c>
      <c r="L21" s="91" t="n">
        <f aca="false">J21/B21*100</f>
        <v>21.4814814814815</v>
      </c>
      <c r="M21" s="91" t="n">
        <f aca="false">K21/B21*100</f>
        <v>10</v>
      </c>
    </row>
    <row r="22" customFormat="false" ht="15.75" hidden="false" customHeight="false" outlineLevel="0" collapsed="false">
      <c r="A22" s="0" t="s">
        <v>993</v>
      </c>
      <c r="B22" s="0" t="n">
        <v>1.3</v>
      </c>
      <c r="J22" s="0" t="n">
        <v>0.22</v>
      </c>
      <c r="K22" s="0" t="n">
        <v>0.12</v>
      </c>
      <c r="L22" s="91" t="n">
        <f aca="false">J22/B22*100</f>
        <v>16.9230769230769</v>
      </c>
      <c r="M22" s="91" t="n">
        <f aca="false">K22/B22*100</f>
        <v>9.23076923076923</v>
      </c>
    </row>
    <row r="23" customFormat="false" ht="15.75" hidden="false" customHeight="false" outlineLevel="0" collapsed="false">
      <c r="A23" s="0" t="n">
        <v>7</v>
      </c>
      <c r="B23" s="0" t="n">
        <v>1.6</v>
      </c>
      <c r="J23" s="0" t="n">
        <v>0.4</v>
      </c>
      <c r="K23" s="0" t="n">
        <v>0.21</v>
      </c>
      <c r="L23" s="91" t="n">
        <f aca="false">J23/B23*100</f>
        <v>25</v>
      </c>
      <c r="M23" s="91" t="n">
        <f aca="false">K23/B23*100</f>
        <v>13.125</v>
      </c>
    </row>
    <row r="24" customFormat="false" ht="15.75" hidden="false" customHeight="false" outlineLevel="0" collapsed="false">
      <c r="A24" s="0" t="s">
        <v>994</v>
      </c>
      <c r="B24" s="0" t="n">
        <v>1.6</v>
      </c>
      <c r="J24" s="0" t="n">
        <v>0.35</v>
      </c>
      <c r="K24" s="0" t="n">
        <v>0.2</v>
      </c>
      <c r="L24" s="91" t="n">
        <f aca="false">J24/B24*100</f>
        <v>21.875</v>
      </c>
      <c r="M24" s="91" t="n">
        <f aca="false">K24/B24*100</f>
        <v>12.5</v>
      </c>
    </row>
    <row r="25" customFormat="false" ht="15.75" hidden="false" customHeight="false" outlineLevel="0" collapsed="false">
      <c r="A25" s="0" t="n">
        <v>6</v>
      </c>
      <c r="B25" s="0" t="n">
        <v>2.2</v>
      </c>
      <c r="J25" s="0" t="n">
        <v>0.41</v>
      </c>
      <c r="K25" s="0" t="n">
        <v>0.21</v>
      </c>
      <c r="L25" s="91" t="n">
        <f aca="false">J25/B25*100</f>
        <v>18.6363636363636</v>
      </c>
      <c r="M25" s="91" t="n">
        <f aca="false">K25/B25*100</f>
        <v>9.54545454545455</v>
      </c>
    </row>
    <row r="26" customFormat="false" ht="15.75" hidden="false" customHeight="false" outlineLevel="0" collapsed="false">
      <c r="A26" s="0" t="n">
        <v>5</v>
      </c>
      <c r="B26" s="0" t="n">
        <v>2.25</v>
      </c>
      <c r="J26" s="0" t="n">
        <v>0.42</v>
      </c>
      <c r="K26" s="0" t="n">
        <v>0.22</v>
      </c>
      <c r="L26" s="91" t="n">
        <f aca="false">J26/B26*100</f>
        <v>18.6666666666667</v>
      </c>
      <c r="M26" s="91" t="n">
        <f aca="false">K26/B26*100</f>
        <v>9.77777777777778</v>
      </c>
    </row>
    <row r="27" customFormat="false" ht="15.75" hidden="false" customHeight="false" outlineLevel="0" collapsed="false">
      <c r="A27" s="0" t="n">
        <v>3</v>
      </c>
      <c r="B27" s="0" t="n">
        <v>2.55</v>
      </c>
      <c r="J27" s="0" t="n">
        <v>0.48</v>
      </c>
      <c r="K27" s="0" t="n">
        <v>0.24</v>
      </c>
      <c r="L27" s="91" t="n">
        <f aca="false">J27/B27*100</f>
        <v>18.8235294117647</v>
      </c>
      <c r="M27" s="91" t="n">
        <f aca="false">K27/B27*100</f>
        <v>9.41176470588235</v>
      </c>
    </row>
    <row r="28" customFormat="false" ht="15.75" hidden="false" customHeight="false" outlineLevel="0" collapsed="false">
      <c r="M28" s="91"/>
    </row>
    <row r="29" customFormat="false" ht="15.75" hidden="false" customHeight="false" outlineLevel="0" collapsed="false">
      <c r="L29" s="345" t="n">
        <f aca="false">AVERAGEA(L17:L27)</f>
        <v>20.8375734238034</v>
      </c>
      <c r="M29" s="345" t="n">
        <f aca="false">AVERAGEA(M17:M27)</f>
        <v>10.9978533795379</v>
      </c>
    </row>
  </sheetData>
  <mergeCells count="1">
    <mergeCell ref="E3:I3"/>
  </mergeCells>
  <hyperlinks>
    <hyperlink ref="C14" r:id="rId2" display="https://doi.org/10.1109/IEDM13553.2020.9372004 "/>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FFD966"/>
    <pageSetUpPr fitToPage="false"/>
  </sheetPr>
  <dimension ref="B2:G1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E15" activeCellId="0" sqref="E15"/>
    </sheetView>
  </sheetViews>
  <sheetFormatPr defaultColWidth="8.5" defaultRowHeight="15.75" zeroHeight="false" outlineLevelRow="0" outlineLevelCol="0"/>
  <cols>
    <col collapsed="false" customWidth="true" hidden="false" outlineLevel="0" max="1" min="1" style="0" width="2"/>
    <col collapsed="false" customWidth="true" hidden="false" outlineLevel="0" max="2" min="2" style="0" width="33.5"/>
    <col collapsed="false" customWidth="true" hidden="false" outlineLevel="0" max="4" min="4" style="0" width="16.37"/>
    <col collapsed="false" customWidth="true" hidden="false" outlineLevel="0" max="5" min="5" style="77" width="25.75"/>
    <col collapsed="false" customWidth="true" hidden="false" outlineLevel="0" max="6" min="6" style="0" width="85.5"/>
  </cols>
  <sheetData>
    <row r="2" customFormat="false" ht="15.75" hidden="false" customHeight="false" outlineLevel="0" collapsed="false">
      <c r="B2" s="84" t="s">
        <v>484</v>
      </c>
      <c r="C2" s="84" t="s">
        <v>68</v>
      </c>
      <c r="D2" s="84" t="s">
        <v>485</v>
      </c>
      <c r="E2" s="85" t="s">
        <v>1</v>
      </c>
      <c r="F2" s="85" t="s">
        <v>486</v>
      </c>
    </row>
    <row r="3" customFormat="false" ht="48" hidden="false" customHeight="true" outlineLevel="0" collapsed="false">
      <c r="B3" s="86" t="s">
        <v>487</v>
      </c>
      <c r="C3" s="3" t="n">
        <v>2.5</v>
      </c>
      <c r="D3" s="30" t="s">
        <v>488</v>
      </c>
      <c r="E3" s="87" t="s">
        <v>489</v>
      </c>
      <c r="F3" s="30"/>
      <c r="G3" s="0" t="s">
        <v>490</v>
      </c>
    </row>
    <row r="4" customFormat="false" ht="15.75" hidden="false" customHeight="false" outlineLevel="0" collapsed="false">
      <c r="B4" s="86" t="s">
        <v>491</v>
      </c>
      <c r="C4" s="3" t="n">
        <v>2.5</v>
      </c>
      <c r="D4" s="30" t="s">
        <v>488</v>
      </c>
      <c r="E4" s="30"/>
      <c r="F4" s="30"/>
    </row>
    <row r="5" customFormat="false" ht="15.75" hidden="false" customHeight="false" outlineLevel="0" collapsed="false">
      <c r="B5" s="86" t="s">
        <v>492</v>
      </c>
      <c r="C5" s="3" t="n">
        <v>2.5</v>
      </c>
      <c r="D5" s="30" t="s">
        <v>488</v>
      </c>
      <c r="E5" s="30"/>
      <c r="F5" s="30"/>
    </row>
    <row r="6" customFormat="false" ht="15.75" hidden="false" customHeight="false" outlineLevel="0" collapsed="false">
      <c r="B6" s="86" t="s">
        <v>493</v>
      </c>
      <c r="C6" s="3" t="n">
        <v>1</v>
      </c>
      <c r="D6" s="30" t="s">
        <v>488</v>
      </c>
      <c r="E6" s="30"/>
      <c r="F6" s="30"/>
    </row>
    <row r="7" customFormat="false" ht="15.75" hidden="false" customHeight="false" outlineLevel="0" collapsed="false">
      <c r="B7" s="86" t="s">
        <v>494</v>
      </c>
      <c r="C7" s="3" t="n">
        <v>2.5</v>
      </c>
      <c r="D7" s="30" t="s">
        <v>488</v>
      </c>
      <c r="E7" s="30"/>
      <c r="F7" s="86" t="s">
        <v>495</v>
      </c>
      <c r="G7" s="0" t="s">
        <v>496</v>
      </c>
    </row>
    <row r="8" customFormat="false" ht="47.25" hidden="false" customHeight="false" outlineLevel="0" collapsed="false">
      <c r="B8" s="86" t="s">
        <v>497</v>
      </c>
      <c r="C8" s="3" t="n">
        <v>0.475</v>
      </c>
      <c r="D8" s="30" t="s">
        <v>498</v>
      </c>
      <c r="E8" s="87" t="s">
        <v>499</v>
      </c>
      <c r="F8" s="34" t="s">
        <v>500</v>
      </c>
    </row>
    <row r="9" customFormat="false" ht="15.75" hidden="false" customHeight="false" outlineLevel="0" collapsed="false">
      <c r="C9" s="3"/>
    </row>
    <row r="10" customFormat="false" ht="15.75" hidden="false" customHeight="false" outlineLevel="0" collapsed="false">
      <c r="C10" s="3"/>
    </row>
    <row r="11" customFormat="false" ht="15.75" hidden="false" customHeight="false" outlineLevel="0" collapsed="false">
      <c r="B11" s="84" t="s">
        <v>501</v>
      </c>
      <c r="C11" s="84" t="s">
        <v>68</v>
      </c>
      <c r="D11" s="84" t="s">
        <v>485</v>
      </c>
      <c r="E11" s="84" t="s">
        <v>1</v>
      </c>
    </row>
    <row r="12" customFormat="false" ht="15.75" hidden="false" customHeight="false" outlineLevel="0" collapsed="false">
      <c r="B12" s="86" t="s">
        <v>502</v>
      </c>
      <c r="C12" s="20" t="n">
        <v>3.6</v>
      </c>
      <c r="D12" s="30" t="s">
        <v>503</v>
      </c>
      <c r="E12" s="30" t="s">
        <v>504</v>
      </c>
    </row>
    <row r="13" customFormat="false" ht="15.75" hidden="false" customHeight="false" outlineLevel="0" collapsed="false">
      <c r="B13" s="86" t="s">
        <v>505</v>
      </c>
      <c r="C13" s="88" t="n">
        <v>6.4516</v>
      </c>
      <c r="D13" s="30" t="s">
        <v>506</v>
      </c>
      <c r="E13" s="30" t="s">
        <v>504</v>
      </c>
    </row>
    <row r="14" customFormat="false" ht="15.75" hidden="false" customHeight="false" outlineLevel="0" collapsed="false">
      <c r="B14" s="89" t="s">
        <v>507</v>
      </c>
      <c r="C14" s="90" t="n">
        <f aca="false">PI()*(8/2)*(8/2)*C13</f>
        <v>324.292786622399</v>
      </c>
      <c r="E14" s="77" t="s">
        <v>504</v>
      </c>
    </row>
    <row r="16" customFormat="false" ht="15.75" hidden="false" customHeight="false" outlineLevel="0" collapsed="false">
      <c r="G16" s="91"/>
    </row>
  </sheetData>
  <hyperlinks>
    <hyperlink ref="E3" r:id="rId1" display="https://ec.europa.eu/energy/sites/ener/files/documents/final_report_pef_eed.pdf &#10;https://www.ehpa.org/about/news/article/the-importance-of-a-revised-primary-energy-factor-pef-towards-achieving-the-eus-long-term-energy/ "/>
    <hyperlink ref="E8" r:id="rId2" display="https://ourworldindata.org/grapher/carbon-intensity-electricity?tab=chart&amp;time=earliest..latest&amp;region=World&#10;https://www.iea.org/reports/global-energy-co2-status-report-2019/emissions"/>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G20"/>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17" activeCellId="0" sqref="B17"/>
    </sheetView>
  </sheetViews>
  <sheetFormatPr defaultColWidth="8.5" defaultRowHeight="15.75" zeroHeight="false" outlineLevelRow="0" outlineLevelCol="0"/>
  <cols>
    <col collapsed="false" customWidth="true" hidden="false" outlineLevel="0" max="2" min="2" style="0" width="26.37"/>
    <col collapsed="false" customWidth="true" hidden="false" outlineLevel="0" max="7" min="3" style="0" width="22"/>
    <col collapsed="false" customWidth="true" hidden="false" outlineLevel="0" max="12" min="8" style="0" width="10.37"/>
  </cols>
  <sheetData>
    <row r="2" customFormat="false" ht="15.75" hidden="false" customHeight="false" outlineLevel="0" collapsed="false">
      <c r="B2" s="92" t="s">
        <v>508</v>
      </c>
      <c r="C2" s="0" t="s">
        <v>509</v>
      </c>
    </row>
    <row r="4" s="89" customFormat="true" ht="15.75" hidden="false" customHeight="false" outlineLevel="0" collapsed="false">
      <c r="B4" s="93" t="s">
        <v>510</v>
      </c>
      <c r="C4" s="93" t="s">
        <v>511</v>
      </c>
      <c r="D4" s="93" t="s">
        <v>512</v>
      </c>
      <c r="E4" s="93" t="s">
        <v>513</v>
      </c>
      <c r="F4" s="94" t="s">
        <v>514</v>
      </c>
      <c r="G4" s="93" t="s">
        <v>515</v>
      </c>
    </row>
    <row r="5" customFormat="false" ht="15.75" hidden="false" customHeight="false" outlineLevel="0" collapsed="false">
      <c r="B5" s="95"/>
      <c r="C5" s="95" t="n">
        <v>20</v>
      </c>
      <c r="D5" s="96" t="n">
        <v>1.31</v>
      </c>
      <c r="E5" s="96" t="n">
        <v>17.5</v>
      </c>
      <c r="F5" s="97" t="n">
        <v>0.0209</v>
      </c>
      <c r="G5" s="96" t="n">
        <f aca="false">F5*1000</f>
        <v>20.9</v>
      </c>
    </row>
    <row r="6" customFormat="false" ht="15.75" hidden="false" customHeight="false" outlineLevel="0" collapsed="false">
      <c r="B6" s="98" t="n">
        <v>130</v>
      </c>
      <c r="C6" s="95" t="n">
        <v>29</v>
      </c>
      <c r="D6" s="99" t="n">
        <v>1.61</v>
      </c>
      <c r="E6" s="100" t="n">
        <v>25</v>
      </c>
      <c r="F6" s="97" t="n">
        <v>0.0231</v>
      </c>
      <c r="G6" s="100" t="n">
        <f aca="false">F6*1000</f>
        <v>23.1</v>
      </c>
    </row>
    <row r="7" customFormat="false" ht="15.75" hidden="false" customHeight="false" outlineLevel="0" collapsed="false">
      <c r="B7" s="101" t="n">
        <v>90</v>
      </c>
      <c r="C7" s="95" t="n">
        <v>33</v>
      </c>
      <c r="D7" s="102" t="n">
        <v>2.12</v>
      </c>
      <c r="E7" s="103" t="n">
        <v>28.3</v>
      </c>
      <c r="F7" s="97" t="n">
        <v>0.0241</v>
      </c>
      <c r="G7" s="103" t="n">
        <f aca="false">F7*1000</f>
        <v>24.1</v>
      </c>
    </row>
    <row r="8" customFormat="false" ht="15.75" hidden="false" customHeight="false" outlineLevel="0" collapsed="false">
      <c r="B8" s="95"/>
      <c r="C8" s="95" t="n">
        <v>40</v>
      </c>
      <c r="D8" s="96" t="n">
        <v>2.56</v>
      </c>
      <c r="E8" s="96" t="n">
        <v>34.1</v>
      </c>
      <c r="F8" s="97" t="n">
        <v>0.0259</v>
      </c>
      <c r="G8" s="96" t="n">
        <f aca="false">F8*1000</f>
        <v>25.9</v>
      </c>
    </row>
    <row r="9" customFormat="false" ht="15.75" hidden="false" customHeight="false" outlineLevel="0" collapsed="false">
      <c r="B9" s="98" t="n">
        <v>28</v>
      </c>
      <c r="C9" s="95" t="n">
        <v>50</v>
      </c>
      <c r="D9" s="99" t="n">
        <v>2.73</v>
      </c>
      <c r="E9" s="100" t="n">
        <v>42.4</v>
      </c>
      <c r="F9" s="97" t="n">
        <v>0.0284</v>
      </c>
      <c r="G9" s="100" t="n">
        <f aca="false">F9*1000</f>
        <v>28.4</v>
      </c>
    </row>
    <row r="10" customFormat="false" ht="15.75" hidden="false" customHeight="false" outlineLevel="0" collapsed="false">
      <c r="B10" s="104" t="n">
        <v>16</v>
      </c>
      <c r="C10" s="95" t="n">
        <v>55</v>
      </c>
      <c r="D10" s="105" t="n">
        <v>3</v>
      </c>
      <c r="E10" s="106" t="n">
        <v>46.5</v>
      </c>
      <c r="F10" s="97" t="n">
        <v>0.0296</v>
      </c>
      <c r="G10" s="106" t="n">
        <f aca="false">F10*1000</f>
        <v>29.6</v>
      </c>
    </row>
    <row r="11" customFormat="false" ht="15.75" hidden="false" customHeight="false" outlineLevel="0" collapsed="false">
      <c r="B11" s="104" t="n">
        <v>14</v>
      </c>
      <c r="C11" s="95" t="n">
        <v>58</v>
      </c>
      <c r="D11" s="105" t="n">
        <v>3.16</v>
      </c>
      <c r="E11" s="106" t="n">
        <v>49</v>
      </c>
      <c r="F11" s="97" t="n">
        <v>0.0304</v>
      </c>
      <c r="G11" s="106" t="n">
        <f aca="false">F11*1000</f>
        <v>30.4</v>
      </c>
    </row>
    <row r="12" customFormat="false" ht="15.75" hidden="false" customHeight="false" outlineLevel="0" collapsed="false">
      <c r="B12" s="104" t="n">
        <v>12</v>
      </c>
      <c r="C12" s="95" t="n">
        <v>64</v>
      </c>
      <c r="D12" s="105" t="n">
        <v>3.48</v>
      </c>
      <c r="E12" s="106" t="n">
        <v>54</v>
      </c>
      <c r="F12" s="97" t="n">
        <v>0.0319</v>
      </c>
      <c r="G12" s="106" t="n">
        <f aca="false">F12*1000</f>
        <v>31.9</v>
      </c>
    </row>
    <row r="13" customFormat="false" ht="15.75" hidden="false" customHeight="false" outlineLevel="0" collapsed="false">
      <c r="B13" s="104" t="n">
        <v>8</v>
      </c>
      <c r="C13" s="95" t="n">
        <v>70</v>
      </c>
      <c r="D13" s="105" t="n">
        <v>3.81</v>
      </c>
      <c r="E13" s="106" t="n">
        <v>59</v>
      </c>
      <c r="F13" s="97" t="n">
        <v>0.0334</v>
      </c>
      <c r="G13" s="106" t="n">
        <f aca="false">F13*1000</f>
        <v>33.4</v>
      </c>
    </row>
    <row r="14" customFormat="false" ht="15.75" hidden="false" customHeight="false" outlineLevel="0" collapsed="false">
      <c r="B14" s="101" t="n">
        <v>7</v>
      </c>
      <c r="C14" s="95" t="n">
        <v>75</v>
      </c>
      <c r="D14" s="102" t="n">
        <v>4.07</v>
      </c>
      <c r="E14" s="103" t="n">
        <v>63.1</v>
      </c>
      <c r="F14" s="97" t="n">
        <v>0.0346</v>
      </c>
      <c r="G14" s="103" t="n">
        <f aca="false">F14*1000</f>
        <v>34.6</v>
      </c>
    </row>
    <row r="17" customFormat="false" ht="15.75" hidden="false" customHeight="true" outlineLevel="0" collapsed="false">
      <c r="B17" s="107" t="s">
        <v>516</v>
      </c>
      <c r="C17" s="107"/>
      <c r="D17" s="107"/>
      <c r="E17" s="107"/>
      <c r="F17" s="107"/>
      <c r="G17" s="107"/>
    </row>
    <row r="18" customFormat="false" ht="15.75" hidden="false" customHeight="false" outlineLevel="0" collapsed="false">
      <c r="B18" s="107"/>
      <c r="C18" s="107"/>
      <c r="D18" s="107"/>
      <c r="E18" s="107"/>
      <c r="F18" s="107"/>
      <c r="G18" s="107"/>
    </row>
    <row r="19" customFormat="false" ht="15.75" hidden="false" customHeight="false" outlineLevel="0" collapsed="false">
      <c r="B19" s="107"/>
      <c r="C19" s="107"/>
      <c r="D19" s="107"/>
      <c r="E19" s="107"/>
      <c r="F19" s="107"/>
      <c r="G19" s="107"/>
    </row>
    <row r="20" customFormat="false" ht="15.75" hidden="false" customHeight="false" outlineLevel="0" collapsed="false">
      <c r="B20" s="107"/>
      <c r="C20" s="107"/>
      <c r="D20" s="107"/>
      <c r="E20" s="107"/>
      <c r="F20" s="107"/>
      <c r="G20" s="107"/>
    </row>
  </sheetData>
  <mergeCells count="1">
    <mergeCell ref="B17:G20"/>
  </mergeCell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F28"/>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L20" activeCellId="0" sqref="L20"/>
    </sheetView>
  </sheetViews>
  <sheetFormatPr defaultColWidth="8.5" defaultRowHeight="15.75" zeroHeight="false" outlineLevelRow="0" outlineLevelCol="0"/>
  <cols>
    <col collapsed="false" customWidth="true" hidden="false" outlineLevel="0" max="2" min="2" style="0" width="20.13"/>
    <col collapsed="false" customWidth="true" hidden="false" outlineLevel="0" max="3" min="3" style="0" width="16.26"/>
    <col collapsed="false" customWidth="true" hidden="false" outlineLevel="0" max="4" min="4" style="0" width="22.5"/>
    <col collapsed="false" customWidth="true" hidden="false" outlineLevel="0" max="6" min="5" style="0" width="21.13"/>
  </cols>
  <sheetData>
    <row r="2" customFormat="false" ht="15.75" hidden="false" customHeight="false" outlineLevel="0" collapsed="false">
      <c r="B2" s="92" t="s">
        <v>508</v>
      </c>
      <c r="C2" s="0" t="s">
        <v>517</v>
      </c>
    </row>
    <row r="4" customFormat="false" ht="15.75" hidden="false" customHeight="false" outlineLevel="0" collapsed="false">
      <c r="B4" s="108" t="s">
        <v>518</v>
      </c>
    </row>
    <row r="6" customFormat="false" ht="15.75" hidden="false" customHeight="false" outlineLevel="0" collapsed="false">
      <c r="B6" s="93" t="s">
        <v>519</v>
      </c>
      <c r="C6" s="93" t="s">
        <v>520</v>
      </c>
      <c r="D6" s="93" t="s">
        <v>512</v>
      </c>
      <c r="E6" s="93" t="s">
        <v>513</v>
      </c>
      <c r="F6" s="93" t="s">
        <v>521</v>
      </c>
    </row>
    <row r="7" customFormat="false" ht="15.75" hidden="false" customHeight="false" outlineLevel="0" collapsed="false">
      <c r="B7" s="109"/>
      <c r="C7" s="109" t="s">
        <v>522</v>
      </c>
      <c r="D7" s="109"/>
      <c r="E7" s="109"/>
      <c r="F7" s="109"/>
    </row>
    <row r="8" customFormat="false" ht="15.75" hidden="false" customHeight="false" outlineLevel="0" collapsed="false">
      <c r="B8" s="89" t="n">
        <v>350</v>
      </c>
      <c r="C8" s="110" t="s">
        <v>46</v>
      </c>
      <c r="D8" s="0" t="s">
        <v>75</v>
      </c>
      <c r="E8" s="0" t="s">
        <v>75</v>
      </c>
      <c r="F8" s="0" t="s">
        <v>75</v>
      </c>
    </row>
    <row r="9" customFormat="false" ht="15.75" hidden="false" customHeight="false" outlineLevel="0" collapsed="false">
      <c r="B9" s="89" t="n">
        <v>250</v>
      </c>
      <c r="C9" s="110" t="s">
        <v>46</v>
      </c>
      <c r="D9" s="0" t="s">
        <v>75</v>
      </c>
      <c r="E9" s="0" t="s">
        <v>75</v>
      </c>
      <c r="F9" s="0" t="s">
        <v>75</v>
      </c>
    </row>
    <row r="10" customFormat="false" ht="15.75" hidden="false" customHeight="false" outlineLevel="0" collapsed="false">
      <c r="B10" s="89" t="n">
        <v>180</v>
      </c>
      <c r="C10" s="110" t="s">
        <v>46</v>
      </c>
      <c r="D10" s="0" t="s">
        <v>75</v>
      </c>
      <c r="E10" s="0" t="s">
        <v>75</v>
      </c>
      <c r="F10" s="0" t="s">
        <v>75</v>
      </c>
    </row>
    <row r="11" customFormat="false" ht="15.75" hidden="false" customHeight="false" outlineLevel="0" collapsed="false">
      <c r="B11" s="89" t="n">
        <v>130</v>
      </c>
      <c r="C11" s="110" t="s">
        <v>46</v>
      </c>
      <c r="D11" s="0" t="s">
        <v>75</v>
      </c>
      <c r="E11" s="0" t="s">
        <v>75</v>
      </c>
      <c r="F11" s="0" t="s">
        <v>75</v>
      </c>
    </row>
    <row r="12" customFormat="false" ht="15.75" hidden="false" customHeight="false" outlineLevel="0" collapsed="false">
      <c r="B12" s="89" t="n">
        <v>90</v>
      </c>
      <c r="C12" s="110" t="s">
        <v>46</v>
      </c>
      <c r="D12" s="0" t="s">
        <v>75</v>
      </c>
      <c r="E12" s="0" t="s">
        <v>75</v>
      </c>
      <c r="F12" s="0" t="s">
        <v>75</v>
      </c>
    </row>
    <row r="13" customFormat="false" ht="15.75" hidden="false" customHeight="false" outlineLevel="0" collapsed="false">
      <c r="B13" s="89" t="n">
        <v>65</v>
      </c>
      <c r="C13" s="110" t="s">
        <v>46</v>
      </c>
      <c r="D13" s="0" t="s">
        <v>75</v>
      </c>
      <c r="E13" s="0" t="s">
        <v>75</v>
      </c>
      <c r="F13" s="0" t="s">
        <v>75</v>
      </c>
    </row>
    <row r="14" customFormat="false" ht="15.75" hidden="false" customHeight="false" outlineLevel="0" collapsed="false">
      <c r="B14" s="89" t="n">
        <v>45</v>
      </c>
      <c r="C14" s="110" t="s">
        <v>46</v>
      </c>
      <c r="D14" s="0" t="s">
        <v>75</v>
      </c>
      <c r="E14" s="0" t="s">
        <v>75</v>
      </c>
      <c r="F14" s="0" t="s">
        <v>75</v>
      </c>
    </row>
    <row r="15" customFormat="false" ht="15.75" hidden="false" customHeight="false" outlineLevel="0" collapsed="false">
      <c r="B15" s="89" t="n">
        <v>32</v>
      </c>
      <c r="C15" s="110" t="s">
        <v>46</v>
      </c>
      <c r="D15" s="0" t="s">
        <v>75</v>
      </c>
      <c r="E15" s="0" t="s">
        <v>75</v>
      </c>
      <c r="F15" s="0" t="s">
        <v>75</v>
      </c>
    </row>
    <row r="16" customFormat="false" ht="15.75" hidden="false" customHeight="false" outlineLevel="0" collapsed="false">
      <c r="B16" s="89" t="n">
        <v>22</v>
      </c>
      <c r="C16" s="110" t="s">
        <v>46</v>
      </c>
      <c r="D16" s="0" t="s">
        <v>75</v>
      </c>
      <c r="E16" s="0" t="s">
        <v>75</v>
      </c>
      <c r="F16" s="0" t="s">
        <v>75</v>
      </c>
    </row>
    <row r="17" customFormat="false" ht="15.75" hidden="false" customHeight="false" outlineLevel="0" collapsed="false">
      <c r="B17" s="89" t="n">
        <v>14</v>
      </c>
      <c r="C17" s="110" t="s">
        <v>46</v>
      </c>
      <c r="D17" s="0" t="s">
        <v>75</v>
      </c>
      <c r="E17" s="0" t="s">
        <v>75</v>
      </c>
      <c r="F17" s="0" t="s">
        <v>75</v>
      </c>
    </row>
    <row r="18" customFormat="false" ht="15.75" hidden="false" customHeight="false" outlineLevel="0" collapsed="false">
      <c r="B18" s="109"/>
      <c r="C18" s="109" t="s">
        <v>523</v>
      </c>
      <c r="D18" s="109"/>
      <c r="E18" s="109"/>
      <c r="F18" s="109"/>
    </row>
    <row r="19" customFormat="false" ht="15.75" hidden="false" customHeight="false" outlineLevel="0" collapsed="false">
      <c r="B19" s="89" t="n">
        <v>57</v>
      </c>
      <c r="C19" s="110" t="s">
        <v>52</v>
      </c>
      <c r="D19" s="0" t="s">
        <v>75</v>
      </c>
      <c r="E19" s="0" t="s">
        <v>75</v>
      </c>
      <c r="F19" s="0" t="s">
        <v>75</v>
      </c>
    </row>
    <row r="20" customFormat="false" ht="15.75" hidden="false" customHeight="false" outlineLevel="0" collapsed="false">
      <c r="B20" s="89" t="n">
        <v>45</v>
      </c>
      <c r="C20" s="110" t="s">
        <v>52</v>
      </c>
      <c r="D20" s="0" t="s">
        <v>75</v>
      </c>
      <c r="E20" s="0" t="s">
        <v>75</v>
      </c>
      <c r="F20" s="0" t="s">
        <v>75</v>
      </c>
    </row>
    <row r="24" customFormat="false" ht="15.75" hidden="false" customHeight="true" outlineLevel="0" collapsed="false">
      <c r="B24" s="107" t="s">
        <v>524</v>
      </c>
      <c r="C24" s="107"/>
      <c r="D24" s="107"/>
      <c r="E24" s="107"/>
      <c r="F24" s="107"/>
    </row>
    <row r="25" customFormat="false" ht="15.75" hidden="false" customHeight="false" outlineLevel="0" collapsed="false">
      <c r="B25" s="107"/>
      <c r="C25" s="107"/>
      <c r="D25" s="107"/>
      <c r="E25" s="107"/>
      <c r="F25" s="107"/>
    </row>
    <row r="26" customFormat="false" ht="15.75" hidden="false" customHeight="false" outlineLevel="0" collapsed="false">
      <c r="B26" s="107"/>
      <c r="C26" s="107"/>
      <c r="D26" s="107"/>
      <c r="E26" s="107"/>
      <c r="F26" s="107"/>
    </row>
    <row r="27" customFormat="false" ht="15.75" hidden="false" customHeight="false" outlineLevel="0" collapsed="false">
      <c r="B27" s="107"/>
      <c r="C27" s="107"/>
      <c r="D27" s="107"/>
      <c r="E27" s="107"/>
      <c r="F27" s="107"/>
    </row>
    <row r="28" customFormat="false" ht="15.75" hidden="false" customHeight="false" outlineLevel="0" collapsed="false">
      <c r="B28" s="107"/>
      <c r="C28" s="107"/>
      <c r="D28" s="107"/>
      <c r="E28" s="107"/>
      <c r="F28" s="107"/>
    </row>
  </sheetData>
  <mergeCells count="1">
    <mergeCell ref="B24:F28"/>
  </mergeCell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P3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N22" activeCellId="0" sqref="N22"/>
    </sheetView>
  </sheetViews>
  <sheetFormatPr defaultColWidth="8.5" defaultRowHeight="15.75" zeroHeight="false" outlineLevelRow="0" outlineLevelCol="0"/>
  <cols>
    <col collapsed="false" customWidth="true" hidden="false" outlineLevel="0" max="2" min="2" style="0" width="22.76"/>
    <col collapsed="false" customWidth="true" hidden="false" outlineLevel="0" max="4" min="4" style="0" width="11.37"/>
    <col collapsed="false" customWidth="true" hidden="false" outlineLevel="0" max="6" min="6" style="0" width="12.63"/>
    <col collapsed="false" customWidth="true" hidden="false" outlineLevel="0" max="8" min="8" style="0" width="13.75"/>
    <col collapsed="false" customWidth="true" hidden="false" outlineLevel="0" max="10" min="10" style="0" width="13"/>
  </cols>
  <sheetData>
    <row r="2" customFormat="false" ht="15.75" hidden="false" customHeight="false" outlineLevel="0" collapsed="false">
      <c r="B2" s="92" t="s">
        <v>508</v>
      </c>
      <c r="C2" s="0" t="s">
        <v>525</v>
      </c>
    </row>
    <row r="3" customFormat="false" ht="15.75" hidden="false" customHeight="false" outlineLevel="0" collapsed="false">
      <c r="B3" s="92" t="s">
        <v>508</v>
      </c>
      <c r="C3" s="0" t="s">
        <v>526</v>
      </c>
    </row>
    <row r="5" customFormat="false" ht="15.75" hidden="false" customHeight="false" outlineLevel="0" collapsed="false">
      <c r="B5" s="111" t="s">
        <v>527</v>
      </c>
    </row>
    <row r="6" customFormat="false" ht="15.75" hidden="false" customHeight="false" outlineLevel="0" collapsed="false">
      <c r="B6" s="0" t="s">
        <v>528</v>
      </c>
      <c r="E6" s="0" t="s">
        <v>529</v>
      </c>
      <c r="G6" s="0" t="s">
        <v>530</v>
      </c>
      <c r="J6" s="0" t="s">
        <v>531</v>
      </c>
      <c r="L6" s="0" t="s">
        <v>532</v>
      </c>
      <c r="P6" s="0" t="s">
        <v>533</v>
      </c>
    </row>
    <row r="7" customFormat="false" ht="15.75" hidden="false" customHeight="false" outlineLevel="0" collapsed="false">
      <c r="B7" s="0" t="s">
        <v>534</v>
      </c>
      <c r="D7" s="0" t="n">
        <v>1350</v>
      </c>
      <c r="E7" s="0" t="s">
        <v>535</v>
      </c>
    </row>
    <row r="8" customFormat="false" ht="15.75" hidden="false" customHeight="false" outlineLevel="0" collapsed="false">
      <c r="D8" s="0" t="n">
        <v>11.2</v>
      </c>
      <c r="E8" s="0" t="s">
        <v>536</v>
      </c>
    </row>
    <row r="9" customFormat="false" ht="15.75" hidden="false" customHeight="false" outlineLevel="0" collapsed="false">
      <c r="D9" s="0" t="n">
        <f aca="false">15940+2490+0.158+263+232+1060</f>
        <v>19985.158</v>
      </c>
      <c r="E9" s="0" t="s">
        <v>537</v>
      </c>
    </row>
    <row r="11" customFormat="false" ht="15.75" hidden="false" customHeight="false" outlineLevel="0" collapsed="false">
      <c r="B11" s="111" t="s">
        <v>538</v>
      </c>
      <c r="D11" s="0" t="s">
        <v>539</v>
      </c>
    </row>
    <row r="13" customFormat="false" ht="15.75" hidden="false" customHeight="false" outlineLevel="0" collapsed="false">
      <c r="B13" s="0" t="s">
        <v>540</v>
      </c>
      <c r="D13" s="0" t="n">
        <v>118</v>
      </c>
      <c r="E13" s="0" t="s">
        <v>541</v>
      </c>
      <c r="F13" s="0" t="s">
        <v>542</v>
      </c>
      <c r="G13" s="0" t="s">
        <v>543</v>
      </c>
    </row>
    <row r="14" s="112" customFormat="true" ht="15.75" hidden="false" customHeight="false" outlineLevel="0" collapsed="false">
      <c r="B14" s="112" t="s">
        <v>544</v>
      </c>
      <c r="D14" s="112" t="n">
        <v>576</v>
      </c>
      <c r="E14" s="112" t="s">
        <v>541</v>
      </c>
      <c r="F14" s="112" t="s">
        <v>545</v>
      </c>
      <c r="G14" s="112" t="s">
        <v>546</v>
      </c>
    </row>
    <row r="15" customFormat="false" ht="15.75" hidden="false" customHeight="false" outlineLevel="0" collapsed="false">
      <c r="B15" s="0" t="s">
        <v>544</v>
      </c>
      <c r="D15" s="0" t="n">
        <v>180</v>
      </c>
      <c r="E15" s="0" t="s">
        <v>541</v>
      </c>
      <c r="F15" s="0" t="s">
        <v>547</v>
      </c>
      <c r="G15" s="0" t="s">
        <v>548</v>
      </c>
    </row>
    <row r="17" customFormat="false" ht="15.75" hidden="false" customHeight="false" outlineLevel="0" collapsed="false">
      <c r="B17" s="0" t="s">
        <v>549</v>
      </c>
    </row>
    <row r="20" customFormat="false" ht="15.75" hidden="false" customHeight="false" outlineLevel="0" collapsed="false">
      <c r="B20" s="111" t="s">
        <v>550</v>
      </c>
      <c r="C20" s="113"/>
      <c r="D20" s="113"/>
      <c r="E20" s="113"/>
      <c r="F20" s="113"/>
      <c r="G20" s="113"/>
      <c r="H20" s="113"/>
      <c r="I20" s="113"/>
      <c r="J20" s="113"/>
    </row>
    <row r="21" customFormat="false" ht="15.75" hidden="false" customHeight="false" outlineLevel="0" collapsed="false">
      <c r="D21" s="0" t="s">
        <v>542</v>
      </c>
      <c r="F21" s="112" t="s">
        <v>545</v>
      </c>
      <c r="H21" s="114" t="s">
        <v>547</v>
      </c>
    </row>
    <row r="22" customFormat="false" ht="15.75" hidden="false" customHeight="false" outlineLevel="0" collapsed="false">
      <c r="D22" s="115" t="n">
        <f aca="false">$D$7/$D$13</f>
        <v>11.4406779661017</v>
      </c>
      <c r="F22" s="116" t="n">
        <f aca="false">$D$7/$D$14</f>
        <v>2.34375</v>
      </c>
      <c r="H22" s="117" t="n">
        <f aca="false">$D$7/$D$15</f>
        <v>7.5</v>
      </c>
      <c r="J22" s="111" t="s">
        <v>551</v>
      </c>
    </row>
    <row r="23" customFormat="false" ht="15.75" hidden="false" customHeight="false" outlineLevel="0" collapsed="false">
      <c r="D23" s="115" t="n">
        <f aca="false">$D$8*1000/$D$13</f>
        <v>94.9152542372881</v>
      </c>
      <c r="F23" s="116" t="n">
        <f aca="false">$D$8*1000/$D$14</f>
        <v>19.4444444444444</v>
      </c>
      <c r="H23" s="117" t="n">
        <f aca="false">$D$8*1000/$D$15</f>
        <v>62.2222222222222</v>
      </c>
      <c r="J23" s="111" t="s">
        <v>552</v>
      </c>
    </row>
    <row r="24" customFormat="false" ht="15.75" hidden="false" customHeight="false" outlineLevel="0" collapsed="false">
      <c r="D24" s="115" t="n">
        <f aca="false">$D$9/$D$13</f>
        <v>169.365745762712</v>
      </c>
      <c r="F24" s="116" t="n">
        <f aca="false">$D$9/$D$14</f>
        <v>34.6964548611111</v>
      </c>
      <c r="H24" s="118" t="n">
        <f aca="false">$D$9/$D$15</f>
        <v>111.028655555556</v>
      </c>
      <c r="J24" s="111" t="s">
        <v>553</v>
      </c>
    </row>
    <row r="29" customFormat="false" ht="15.75" hidden="false" customHeight="true" outlineLevel="0" collapsed="false">
      <c r="B29" s="107" t="s">
        <v>554</v>
      </c>
      <c r="C29" s="107"/>
      <c r="D29" s="107"/>
      <c r="E29" s="107"/>
      <c r="F29" s="107"/>
      <c r="G29" s="107"/>
      <c r="H29" s="107"/>
      <c r="I29" s="107"/>
      <c r="J29" s="107"/>
    </row>
    <row r="30" customFormat="false" ht="15.75" hidden="false" customHeight="false" outlineLevel="0" collapsed="false">
      <c r="B30" s="107"/>
      <c r="C30" s="107"/>
      <c r="D30" s="107"/>
      <c r="E30" s="107"/>
      <c r="F30" s="107"/>
      <c r="G30" s="107"/>
      <c r="H30" s="107"/>
      <c r="I30" s="107"/>
      <c r="J30" s="107"/>
    </row>
    <row r="31" customFormat="false" ht="15.75" hidden="false" customHeight="false" outlineLevel="0" collapsed="false">
      <c r="B31" s="107"/>
      <c r="C31" s="107"/>
      <c r="D31" s="107"/>
      <c r="E31" s="107"/>
      <c r="F31" s="107"/>
      <c r="G31" s="107"/>
      <c r="H31" s="107"/>
      <c r="I31" s="107"/>
      <c r="J31" s="107"/>
    </row>
    <row r="32" customFormat="false" ht="15.75" hidden="false" customHeight="false" outlineLevel="0" collapsed="false">
      <c r="B32" s="107"/>
      <c r="C32" s="107"/>
      <c r="D32" s="107"/>
      <c r="E32" s="107"/>
      <c r="F32" s="107"/>
      <c r="G32" s="107"/>
      <c r="H32" s="107"/>
      <c r="I32" s="107"/>
      <c r="J32" s="107"/>
    </row>
    <row r="33" customFormat="false" ht="15.75" hidden="false" customHeight="false" outlineLevel="0" collapsed="false">
      <c r="B33" s="107"/>
      <c r="C33" s="107"/>
      <c r="D33" s="107"/>
      <c r="E33" s="107"/>
      <c r="F33" s="107"/>
      <c r="G33" s="107"/>
      <c r="H33" s="107"/>
      <c r="I33" s="107"/>
      <c r="J33" s="107"/>
    </row>
    <row r="34" customFormat="false" ht="15.75" hidden="false" customHeight="false" outlineLevel="0" collapsed="false">
      <c r="B34" s="107"/>
      <c r="C34" s="107"/>
      <c r="D34" s="107"/>
      <c r="E34" s="107"/>
      <c r="F34" s="107"/>
      <c r="G34" s="107"/>
      <c r="H34" s="107"/>
      <c r="I34" s="107"/>
      <c r="J34" s="107"/>
    </row>
    <row r="35" customFormat="false" ht="15.75" hidden="false" customHeight="false" outlineLevel="0" collapsed="false">
      <c r="B35" s="107"/>
      <c r="C35" s="107"/>
      <c r="D35" s="107"/>
      <c r="E35" s="107"/>
      <c r="F35" s="107"/>
      <c r="G35" s="107"/>
      <c r="H35" s="107"/>
      <c r="I35" s="107"/>
      <c r="J35" s="107"/>
    </row>
    <row r="36" customFormat="false" ht="15.75" hidden="false" customHeight="false" outlineLevel="0" collapsed="false">
      <c r="B36" s="107"/>
      <c r="C36" s="107"/>
      <c r="D36" s="107"/>
      <c r="E36" s="107"/>
      <c r="F36" s="107"/>
      <c r="G36" s="107"/>
      <c r="H36" s="107"/>
      <c r="I36" s="107"/>
      <c r="J36" s="107"/>
    </row>
    <row r="37" customFormat="false" ht="15.75" hidden="false" customHeight="false" outlineLevel="0" collapsed="false">
      <c r="B37" s="107"/>
      <c r="C37" s="107"/>
      <c r="D37" s="107"/>
      <c r="E37" s="107"/>
      <c r="F37" s="107"/>
      <c r="G37" s="107"/>
      <c r="H37" s="107"/>
      <c r="I37" s="107"/>
      <c r="J37" s="107"/>
    </row>
    <row r="38" customFormat="false" ht="15.75" hidden="false" customHeight="false" outlineLevel="0" collapsed="false">
      <c r="B38" s="107"/>
      <c r="C38" s="107"/>
      <c r="D38" s="107"/>
      <c r="E38" s="107"/>
      <c r="F38" s="107"/>
      <c r="G38" s="107"/>
      <c r="H38" s="107"/>
      <c r="I38" s="107"/>
      <c r="J38" s="107"/>
    </row>
    <row r="39" customFormat="false" ht="15.75" hidden="false" customHeight="false" outlineLevel="0" collapsed="false">
      <c r="B39" s="107"/>
      <c r="C39" s="107"/>
      <c r="D39" s="107"/>
      <c r="E39" s="107"/>
      <c r="F39" s="107"/>
      <c r="G39" s="107"/>
      <c r="H39" s="107"/>
      <c r="I39" s="107"/>
      <c r="J39" s="107"/>
    </row>
  </sheetData>
  <mergeCells count="1">
    <mergeCell ref="B29:J39"/>
  </mergeCells>
  <hyperlinks>
    <hyperlink ref="C2" r:id="rId1" display="https://doi.org/10.1016/j.eiar.2020.106416"/>
    <hyperlink ref="C3" r:id="rId2" display="https://v35.ecoquery.ecoinvent.org/Details/UPR/fee4fec6-157c-4e9c-b991-31b43a881e41/8b738ea0-f89e-4627-8679-433616064e82 "/>
  </hyperlink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44546A"/>
    <pageSetUpPr fitToPage="false"/>
  </sheetPr>
  <dimension ref="B2:AR58"/>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3" ySplit="3" topLeftCell="N9" activePane="bottomRight" state="frozen"/>
      <selection pane="topLeft" activeCell="A1" activeCellId="0" sqref="A1"/>
      <selection pane="topRight" activeCell="N1" activeCellId="0" sqref="N1"/>
      <selection pane="bottomLeft" activeCell="A9" activeCellId="0" sqref="A9"/>
      <selection pane="bottomRight" activeCell="X17" activeCellId="0" sqref="X17"/>
    </sheetView>
  </sheetViews>
  <sheetFormatPr defaultColWidth="8.5" defaultRowHeight="15.75" zeroHeight="false" outlineLevelRow="0" outlineLevelCol="0"/>
  <cols>
    <col collapsed="false" customWidth="true" hidden="false" outlineLevel="0" max="1" min="1" style="0" width="19.38"/>
    <col collapsed="false" customWidth="true" hidden="false" outlineLevel="0" max="2" min="2" style="89" width="9"/>
    <col collapsed="false" customWidth="true" hidden="false" outlineLevel="0" max="6" min="6" style="0" width="9"/>
    <col collapsed="false" customWidth="true" hidden="false" outlineLevel="0" max="12" min="12" style="0" width="10.89"/>
    <col collapsed="false" customWidth="true" hidden="false" outlineLevel="0" max="13" min="13" style="0" width="9.13"/>
    <col collapsed="false" customWidth="true" hidden="false" outlineLevel="0" max="14" min="14" style="0" width="80.61"/>
    <col collapsed="false" customWidth="true" hidden="false" outlineLevel="0" max="16" min="16" style="0" width="9"/>
    <col collapsed="false" customWidth="true" hidden="false" outlineLevel="0" max="26" min="26" style="0" width="80.61"/>
    <col collapsed="false" customWidth="true" hidden="false" outlineLevel="0" max="28" min="28" style="0" width="9"/>
    <col collapsed="false" customWidth="true" hidden="false" outlineLevel="0" max="29" min="29" style="0" width="11"/>
    <col collapsed="false" customWidth="true" hidden="false" outlineLevel="0" max="34" min="34" style="0" width="80.61"/>
    <col collapsed="false" customWidth="true" hidden="false" outlineLevel="0" max="38" min="38" style="0" width="15.75"/>
    <col collapsed="false" customWidth="true" hidden="false" outlineLevel="0" max="40" min="40" style="0" width="34.5"/>
    <col collapsed="false" customWidth="true" hidden="false" outlineLevel="0" max="41" min="41" style="0" width="18.87"/>
    <col collapsed="false" customWidth="true" hidden="false" outlineLevel="0" max="42" min="42" style="0" width="12.75"/>
    <col collapsed="false" customWidth="true" hidden="false" outlineLevel="0" max="43" min="43" style="0" width="29.63"/>
    <col collapsed="false" customWidth="true" hidden="false" outlineLevel="0" max="44" min="44" style="0" width="21.37"/>
    <col collapsed="false" customWidth="true" hidden="false" outlineLevel="0" max="45" min="45" style="0" width="11.63"/>
    <col collapsed="false" customWidth="true" hidden="false" outlineLevel="0" max="46" min="46" style="0" width="13.37"/>
    <col collapsed="false" customWidth="true" hidden="false" outlineLevel="0" max="53" min="53" style="0" width="12.5"/>
    <col collapsed="false" customWidth="true" hidden="false" outlineLevel="0" max="54" min="54" style="0" width="11.5"/>
    <col collapsed="false" customWidth="true" hidden="false" outlineLevel="0" max="55" min="55" style="0" width="12.13"/>
  </cols>
  <sheetData>
    <row r="2" customFormat="false" ht="15.75" hidden="false" customHeight="false" outlineLevel="0" collapsed="false">
      <c r="E2" s="119"/>
      <c r="F2" s="119"/>
      <c r="G2" s="120" t="s">
        <v>555</v>
      </c>
      <c r="H2" s="120"/>
      <c r="I2" s="120"/>
      <c r="J2" s="120"/>
      <c r="K2" s="120"/>
      <c r="L2" s="120"/>
      <c r="M2" s="120"/>
      <c r="N2" s="120"/>
      <c r="Q2" s="121" t="s">
        <v>556</v>
      </c>
      <c r="R2" s="121"/>
      <c r="S2" s="121"/>
      <c r="T2" s="121"/>
      <c r="U2" s="121"/>
      <c r="V2" s="121"/>
      <c r="W2" s="121"/>
      <c r="X2" s="121"/>
      <c r="Y2" s="121"/>
      <c r="Z2" s="121"/>
      <c r="AC2" s="122" t="s">
        <v>557</v>
      </c>
      <c r="AD2" s="122"/>
      <c r="AE2" s="122"/>
      <c r="AF2" s="122"/>
      <c r="AG2" s="122"/>
      <c r="AH2" s="122"/>
      <c r="AJ2" s="123" t="s">
        <v>558</v>
      </c>
      <c r="AK2" s="123"/>
      <c r="AL2" s="123"/>
    </row>
    <row r="3" s="124" customFormat="true" ht="33.75" hidden="false" customHeight="false" outlineLevel="0" collapsed="false">
      <c r="B3" s="89" t="s">
        <v>51</v>
      </c>
      <c r="C3" s="89" t="s">
        <v>3</v>
      </c>
      <c r="D3" s="89" t="s">
        <v>1</v>
      </c>
      <c r="F3" s="125" t="s">
        <v>559</v>
      </c>
      <c r="G3" s="126" t="s">
        <v>560</v>
      </c>
      <c r="H3" s="125" t="s">
        <v>561</v>
      </c>
      <c r="I3" s="127" t="s">
        <v>562</v>
      </c>
      <c r="J3" s="128"/>
      <c r="K3" s="127" t="s">
        <v>563</v>
      </c>
      <c r="L3" s="127" t="s">
        <v>564</v>
      </c>
      <c r="M3" s="127" t="s">
        <v>565</v>
      </c>
      <c r="N3" s="129" t="s">
        <v>486</v>
      </c>
      <c r="P3" s="130" t="s">
        <v>566</v>
      </c>
      <c r="Q3" s="131" t="s">
        <v>567</v>
      </c>
      <c r="R3" s="130" t="s">
        <v>568</v>
      </c>
      <c r="S3" s="130" t="s">
        <v>569</v>
      </c>
      <c r="T3" s="130" t="s">
        <v>570</v>
      </c>
      <c r="U3" s="132"/>
      <c r="V3" s="130" t="s">
        <v>571</v>
      </c>
      <c r="W3" s="130" t="s">
        <v>572</v>
      </c>
      <c r="X3" s="130" t="s">
        <v>573</v>
      </c>
      <c r="Y3" s="130" t="s">
        <v>574</v>
      </c>
      <c r="Z3" s="133" t="s">
        <v>486</v>
      </c>
      <c r="AB3" s="130" t="s">
        <v>566</v>
      </c>
      <c r="AC3" s="131" t="s">
        <v>575</v>
      </c>
      <c r="AD3" s="130" t="s">
        <v>576</v>
      </c>
      <c r="AE3" s="130"/>
      <c r="AF3" s="130" t="s">
        <v>577</v>
      </c>
      <c r="AG3" s="130" t="s">
        <v>578</v>
      </c>
      <c r="AH3" s="133" t="s">
        <v>486</v>
      </c>
      <c r="AJ3" s="131" t="s">
        <v>1</v>
      </c>
      <c r="AK3" s="130" t="s">
        <v>579</v>
      </c>
      <c r="AL3" s="133" t="s">
        <v>580</v>
      </c>
    </row>
    <row r="4" s="77" customFormat="true" ht="63" hidden="false" customHeight="false" outlineLevel="0" collapsed="false">
      <c r="B4" s="124" t="s">
        <v>256</v>
      </c>
      <c r="C4" s="77" t="n">
        <v>2020</v>
      </c>
      <c r="D4" s="77" t="s">
        <v>581</v>
      </c>
      <c r="F4" s="134" t="n">
        <f aca="false">SUM(G4:H4)</f>
        <v>0.632753804790661</v>
      </c>
      <c r="G4" s="135" t="n">
        <f aca="false">K4/AL4*1000</f>
        <v>0.186829741856729</v>
      </c>
      <c r="H4" s="134" t="n">
        <f aca="false">L4/AL4*1000</f>
        <v>0.445924062933932</v>
      </c>
      <c r="I4" s="136" t="n">
        <f aca="false">M4/AL4*1000</f>
        <v>0.78321396167285</v>
      </c>
      <c r="J4" s="137"/>
      <c r="K4" s="138" t="n">
        <v>539321</v>
      </c>
      <c r="L4" s="138" t="n">
        <v>1287248</v>
      </c>
      <c r="M4" s="138" t="n">
        <v>2260902</v>
      </c>
      <c r="N4" s="139" t="s">
        <v>582</v>
      </c>
      <c r="P4" s="136" t="n">
        <f aca="false">SUM(Q4:T4)</f>
        <v>8.30290937034655</v>
      </c>
      <c r="Q4" s="140" t="n">
        <f aca="false">V4/$AL4*1000000*Parameters!$C$12*Parameters!$C$3</f>
        <v>8.04691097433619</v>
      </c>
      <c r="R4" s="136" t="n">
        <f aca="false">W4/$AL4*1000000*Parameters!$C$12*Parameters!$C$5</f>
        <v>0.00907265049799237</v>
      </c>
      <c r="S4" s="136" t="n">
        <f aca="false">X4/$AL4*1000000*Parameters!$C$12*Parameters!$C$4</f>
        <v>0</v>
      </c>
      <c r="T4" s="136" t="n">
        <f aca="false">Y4/$AL4*1000000*Parameters!$C$12*Parameters!$C$6</f>
        <v>0.24692574551237</v>
      </c>
      <c r="U4" s="2"/>
      <c r="V4" s="2" t="n">
        <v>2581</v>
      </c>
      <c r="W4" s="2" t="n">
        <v>2.91</v>
      </c>
      <c r="X4" s="2"/>
      <c r="Y4" s="2" t="n">
        <v>198</v>
      </c>
      <c r="Z4" s="141" t="str">
        <f aca="false">'Industries data'!N4</f>
        <v>Scopes in CSR
prod in annual report (90% loading)</v>
      </c>
      <c r="AB4" s="142" t="n">
        <f aca="false">SUM(AC4:AD4)</f>
        <v>17.0436962390693</v>
      </c>
      <c r="AC4" s="143" t="n">
        <f aca="false">AF4/$AL4*1000*1000</f>
        <v>5.61194876164476</v>
      </c>
      <c r="AD4" s="142" t="n">
        <f aca="false">AG4/$AL4*1000*1000</f>
        <v>11.4317474774245</v>
      </c>
      <c r="AE4" s="2"/>
      <c r="AF4" s="2" t="n">
        <f aca="false">15500+700</f>
        <v>16200</v>
      </c>
      <c r="AG4" s="2" t="n">
        <v>33000</v>
      </c>
      <c r="AH4" s="144" t="s">
        <v>583</v>
      </c>
      <c r="AJ4" s="145" t="s">
        <v>584</v>
      </c>
      <c r="AK4" s="138" t="n">
        <v>8902</v>
      </c>
      <c r="AL4" s="139" t="n">
        <f aca="false">AK4*PI()*103.22*1000</f>
        <v>2886697774.3489</v>
      </c>
      <c r="AN4" s="77" t="n">
        <f aca="false">AK4*1000*Parameters!C14</f>
        <v>2886854386.51259</v>
      </c>
    </row>
    <row r="5" s="77" customFormat="true" ht="63" hidden="false" customHeight="false" outlineLevel="0" collapsed="false">
      <c r="B5" s="124" t="s">
        <v>256</v>
      </c>
      <c r="C5" s="77" t="n">
        <v>2019</v>
      </c>
      <c r="D5" s="77" t="s">
        <v>581</v>
      </c>
      <c r="F5" s="134" t="n">
        <f aca="false">SUM(G5:H5)</f>
        <v>0.781004582712984</v>
      </c>
      <c r="G5" s="135" t="n">
        <f aca="false">K5/AL5*1000</f>
        <v>0.218789393259425</v>
      </c>
      <c r="H5" s="134" t="n">
        <f aca="false">L5/AL5*1000</f>
        <v>0.562215189453559</v>
      </c>
      <c r="I5" s="136" t="n">
        <f aca="false">M5/AL5*1000</f>
        <v>0.884560454940776</v>
      </c>
      <c r="J5" s="2"/>
      <c r="K5" s="138" t="n">
        <v>512741</v>
      </c>
      <c r="L5" s="138" t="n">
        <v>1317572</v>
      </c>
      <c r="M5" s="138" t="n">
        <v>2073000</v>
      </c>
      <c r="N5" s="139" t="s">
        <v>582</v>
      </c>
      <c r="O5" s="146"/>
      <c r="P5" s="136" t="n">
        <f aca="false">SUM(Q5:T5)</f>
        <v>10.780436531492</v>
      </c>
      <c r="Q5" s="140" t="n">
        <f aca="false">V5/$AL5*1000000*Parameters!$C$12*Parameters!$C$3</f>
        <v>10.4764728845663</v>
      </c>
      <c r="R5" s="136" t="n">
        <f aca="false">W5/$AL5*1000000*Parameters!$C$12*Parameters!$C$5</f>
        <v>0.0105609605691192</v>
      </c>
      <c r="S5" s="136" t="n">
        <f aca="false">X5/$AL5*1000000*Parameters!$C$12*Parameters!$C$4</f>
        <v>0</v>
      </c>
      <c r="T5" s="136" t="n">
        <f aca="false">Y5/$AL5*1000000*Parameters!$C$12*Parameters!$C$6</f>
        <v>0.293402686356622</v>
      </c>
      <c r="U5" s="2"/>
      <c r="V5" s="2" t="n">
        <v>2728</v>
      </c>
      <c r="W5" s="2" t="n">
        <v>2.75</v>
      </c>
      <c r="X5" s="2"/>
      <c r="Y5" s="2" t="n">
        <v>191</v>
      </c>
      <c r="Z5" s="141" t="str">
        <f aca="false">'Industries data'!N5</f>
        <v>Scopes in CSR
prod in annual report (90% loading)</v>
      </c>
      <c r="AB5" s="142" t="n">
        <f aca="false">SUM(AC5:AD5)</f>
        <v>20.6858281401924</v>
      </c>
      <c r="AC5" s="143" t="n">
        <f aca="false">AF5/$AL5*1000*1000</f>
        <v>6.67196684681812</v>
      </c>
      <c r="AD5" s="142" t="n">
        <f aca="false">AG5/$AL5*1000*1000</f>
        <v>14.0138612933743</v>
      </c>
      <c r="AE5" s="2"/>
      <c r="AF5" s="2" t="n">
        <v>15636</v>
      </c>
      <c r="AG5" s="2" t="n">
        <v>32842</v>
      </c>
      <c r="AH5" s="144" t="s">
        <v>583</v>
      </c>
      <c r="AJ5" s="145" t="s">
        <v>584</v>
      </c>
      <c r="AK5" s="138" t="n">
        <v>7227</v>
      </c>
      <c r="AL5" s="139" t="n">
        <f aca="false">AK5*PI()*103.22*1000</f>
        <v>2343536824.89547</v>
      </c>
    </row>
    <row r="6" s="77" customFormat="true" ht="63" hidden="false" customHeight="false" outlineLevel="0" collapsed="false">
      <c r="B6" s="124" t="s">
        <v>256</v>
      </c>
      <c r="C6" s="77" t="n">
        <v>2018</v>
      </c>
      <c r="D6" s="77" t="s">
        <v>581</v>
      </c>
      <c r="F6" s="134" t="n">
        <f aca="false">SUM(G6:H6)</f>
        <v>0.84640372120574</v>
      </c>
      <c r="G6" s="135" t="n">
        <f aca="false">K6/AL6*1000</f>
        <v>0.257124115687921</v>
      </c>
      <c r="H6" s="134" t="n">
        <f aca="false">L6/AL6*1000</f>
        <v>0.589279605517819</v>
      </c>
      <c r="I6" s="136" t="n">
        <f aca="false">M6/AL6*1000</f>
        <v>0.849631717318744</v>
      </c>
      <c r="J6" s="2"/>
      <c r="K6" s="138" t="n">
        <v>595576</v>
      </c>
      <c r="L6" s="138" t="n">
        <v>1364947</v>
      </c>
      <c r="M6" s="138" t="n">
        <v>1968000</v>
      </c>
      <c r="N6" s="139" t="s">
        <v>585</v>
      </c>
      <c r="P6" s="136" t="n">
        <f aca="false">SUM(Q6:T6)</f>
        <v>10.169469974561</v>
      </c>
      <c r="Q6" s="140" t="n">
        <f aca="false">V6/$AL6*1000000*Parameters!$C$12*Parameters!$C$3</f>
        <v>9.84588462661142</v>
      </c>
      <c r="R6" s="136" t="n">
        <f aca="false">W6/$AL6*1000000*Parameters!$C$12*Parameters!$C$5</f>
        <v>0.0111902713988322</v>
      </c>
      <c r="S6" s="136" t="n">
        <f aca="false">X6/$AL6*1000000*Parameters!$C$12*Parameters!$C$4</f>
        <v>0</v>
      </c>
      <c r="T6" s="136" t="n">
        <f aca="false">Y6/$AL6*1000000*Parameters!$C$12*Parameters!$C$6</f>
        <v>0.312395076550733</v>
      </c>
      <c r="U6" s="2"/>
      <c r="V6" s="2" t="n">
        <v>2534</v>
      </c>
      <c r="W6" s="2" t="n">
        <v>2.88</v>
      </c>
      <c r="X6" s="2"/>
      <c r="Y6" s="2" t="n">
        <v>201</v>
      </c>
      <c r="Z6" s="141" t="str">
        <f aca="false">'Industries data'!N6</f>
        <v>Scope in CSR
prod in annual report</v>
      </c>
      <c r="AB6" s="142" t="n">
        <f aca="false">SUM(AC6:AD6)</f>
        <v>20.9921202352168</v>
      </c>
      <c r="AC6" s="143" t="n">
        <f aca="false">AF6/$AL6*1000*1000</f>
        <v>6.82900127263613</v>
      </c>
      <c r="AD6" s="142" t="n">
        <f aca="false">AG6/$AL6*1000*1000</f>
        <v>14.1631189625807</v>
      </c>
      <c r="AE6" s="2"/>
      <c r="AF6" s="2" t="n">
        <v>15818</v>
      </c>
      <c r="AG6" s="2" t="n">
        <v>32806</v>
      </c>
      <c r="AH6" s="144" t="s">
        <v>583</v>
      </c>
      <c r="AJ6" s="145" t="s">
        <v>584</v>
      </c>
      <c r="AK6" s="138" t="n">
        <v>7143</v>
      </c>
      <c r="AL6" s="139" t="n">
        <f aca="false">AK6*PI()*103.22*1000</f>
        <v>2316297708.62437</v>
      </c>
    </row>
    <row r="7" s="77" customFormat="true" ht="63" hidden="false" customHeight="false" outlineLevel="0" collapsed="false">
      <c r="B7" s="124" t="s">
        <v>256</v>
      </c>
      <c r="C7" s="77" t="n">
        <v>2017</v>
      </c>
      <c r="D7" s="77" t="s">
        <v>581</v>
      </c>
      <c r="F7" s="134" t="n">
        <f aca="false">SUM(G7:H7)</f>
        <v>0.876681637721982</v>
      </c>
      <c r="G7" s="135" t="n">
        <f aca="false">K7/AL7*1000</f>
        <v>0.270082072800755</v>
      </c>
      <c r="H7" s="134" t="n">
        <f aca="false">L7/AL7*1000</f>
        <v>0.606599564921228</v>
      </c>
      <c r="I7" s="136" t="n">
        <f aca="false">M7/AL7*1000</f>
        <v>0.991860423195112</v>
      </c>
      <c r="J7" s="2"/>
      <c r="K7" s="138" t="n">
        <v>603958</v>
      </c>
      <c r="L7" s="138" t="n">
        <v>1356479</v>
      </c>
      <c r="M7" s="138" t="n">
        <v>2218000</v>
      </c>
      <c r="N7" s="139" t="s">
        <v>585</v>
      </c>
      <c r="P7" s="136" t="n">
        <f aca="false">SUM(Q7:T7)</f>
        <v>10.5733617954451</v>
      </c>
      <c r="Q7" s="140" t="n">
        <f aca="false">V7/$AL7*1000000*Parameters!$C$12*Parameters!$C$3</f>
        <v>10.2307406500711</v>
      </c>
      <c r="R7" s="136" t="n">
        <f aca="false">W7/$AL7*1000000*Parameters!$C$12*Parameters!$C$5</f>
        <v>0.0109873807925626</v>
      </c>
      <c r="S7" s="136" t="n">
        <f aca="false">X7/$AL7*1000000*Parameters!$C$12*Parameters!$C$4</f>
        <v>0</v>
      </c>
      <c r="T7" s="136" t="n">
        <f aca="false">Y7/$AL7*1000000*Parameters!$C$12*Parameters!$C$6</f>
        <v>0.331633764581377</v>
      </c>
      <c r="U7" s="2"/>
      <c r="V7" s="2" t="n">
        <v>2542</v>
      </c>
      <c r="W7" s="2" t="n">
        <v>2.73</v>
      </c>
      <c r="X7" s="2"/>
      <c r="Y7" s="2" t="n">
        <v>206</v>
      </c>
      <c r="Z7" s="141" t="str">
        <f aca="false">'Industries data'!N7</f>
        <v>Scope in CSR
prod in annual report</v>
      </c>
      <c r="AB7" s="142" t="n">
        <f aca="false">SUM(AC7:AD7)</f>
        <v>21.364351541094</v>
      </c>
      <c r="AC7" s="143" t="n">
        <f aca="false">AF7/$AL7*1000*1000</f>
        <v>7.01412567079141</v>
      </c>
      <c r="AD7" s="142" t="n">
        <f aca="false">AG7/$AL7*1000*1000</f>
        <v>14.3502258703026</v>
      </c>
      <c r="AE7" s="2"/>
      <c r="AF7" s="2" t="n">
        <v>15685</v>
      </c>
      <c r="AG7" s="2" t="n">
        <v>32090</v>
      </c>
      <c r="AH7" s="144" t="s">
        <v>583</v>
      </c>
      <c r="AJ7" s="145" t="s">
        <v>584</v>
      </c>
      <c r="AK7" s="138" t="n">
        <v>6896</v>
      </c>
      <c r="AL7" s="139" t="n">
        <f aca="false">AK7*PI()*103.22*1000</f>
        <v>2236201735.7796</v>
      </c>
    </row>
    <row r="8" s="77" customFormat="true" ht="63" hidden="false" customHeight="false" outlineLevel="0" collapsed="false">
      <c r="B8" s="124" t="s">
        <v>256</v>
      </c>
      <c r="C8" s="77" t="n">
        <v>2016</v>
      </c>
      <c r="D8" s="77" t="s">
        <v>581</v>
      </c>
      <c r="F8" s="134" t="n">
        <f aca="false">SUM(G8:H8)</f>
        <v>0.897915020011725</v>
      </c>
      <c r="G8" s="135" t="n">
        <f aca="false">K8/AL8*1000</f>
        <v>0.306844126663694</v>
      </c>
      <c r="H8" s="134" t="n">
        <f aca="false">L8/AL8*1000</f>
        <v>0.591070893348031</v>
      </c>
      <c r="I8" s="136" t="n">
        <f aca="false">M8/AL8*1000</f>
        <v>1.81441056069109</v>
      </c>
      <c r="J8" s="2"/>
      <c r="K8" s="138" t="n">
        <v>615917</v>
      </c>
      <c r="L8" s="138" t="n">
        <v>1186435</v>
      </c>
      <c r="M8" s="138" t="n">
        <v>3642000</v>
      </c>
      <c r="N8" s="139" t="s">
        <v>585</v>
      </c>
      <c r="P8" s="136" t="n">
        <f aca="false">SUM(Q8:T8)</f>
        <v>10.6740697193526</v>
      </c>
      <c r="Q8" s="140" t="n">
        <f aca="false">V8/$AL8*1000000*Parameters!$C$12*Parameters!$C$3</f>
        <v>10.2677105040756</v>
      </c>
      <c r="R8" s="136" t="n">
        <f aca="false">W8/$AL8*1000000*Parameters!$C$12*Parameters!$C$5</f>
        <v>0.00820520097050582</v>
      </c>
      <c r="S8" s="136" t="n">
        <f aca="false">X8/$AL8*1000000*Parameters!$C$12*Parameters!$C$4</f>
        <v>0</v>
      </c>
      <c r="T8" s="136" t="n">
        <f aca="false">Y8/$AL8*1000000*Parameters!$C$12*Parameters!$C$6</f>
        <v>0.398154014306512</v>
      </c>
      <c r="U8" s="2"/>
      <c r="V8" s="2" t="n">
        <v>2290</v>
      </c>
      <c r="W8" s="2" t="n">
        <v>1.83</v>
      </c>
      <c r="X8" s="2"/>
      <c r="Y8" s="2" t="n">
        <v>222</v>
      </c>
      <c r="Z8" s="141" t="str">
        <f aca="false">'Industries data'!N8</f>
        <v>Scope in CSR
prod in annual report</v>
      </c>
      <c r="AB8" s="142" t="n">
        <f aca="false">SUM(AC8:AD8)</f>
        <v>21.0316189539085</v>
      </c>
      <c r="AC8" s="143" t="n">
        <f aca="false">AF8/$AL8*1000*1000</f>
        <v>7.14206199837107</v>
      </c>
      <c r="AD8" s="142" t="n">
        <f aca="false">AG8/$AL8*1000*1000</f>
        <v>13.8895569555375</v>
      </c>
      <c r="AE8" s="2"/>
      <c r="AF8" s="2" t="n">
        <v>14336</v>
      </c>
      <c r="AG8" s="2" t="n">
        <v>27880</v>
      </c>
      <c r="AH8" s="144" t="s">
        <v>583</v>
      </c>
      <c r="AJ8" s="145" t="s">
        <v>584</v>
      </c>
      <c r="AK8" s="138" t="n">
        <v>6190</v>
      </c>
      <c r="AL8" s="139" t="n">
        <f aca="false">AK8*PI()*103.22*1000</f>
        <v>2007263449.0249</v>
      </c>
    </row>
    <row r="9" s="77" customFormat="true" ht="63" hidden="false" customHeight="false" outlineLevel="0" collapsed="false">
      <c r="B9" s="124" t="s">
        <v>256</v>
      </c>
      <c r="C9" s="77" t="n">
        <v>2015</v>
      </c>
      <c r="D9" s="77" t="s">
        <v>581</v>
      </c>
      <c r="F9" s="134" t="n">
        <f aca="false">SUM(G9:H9)</f>
        <v>0.928596702022692</v>
      </c>
      <c r="G9" s="135" t="n">
        <f aca="false">K9/AL9*1000</f>
        <v>0.322615889212831</v>
      </c>
      <c r="H9" s="134" t="n">
        <f aca="false">L9/AL9*1000</f>
        <v>0.605980812809861</v>
      </c>
      <c r="I9" s="136" t="n">
        <f aca="false">M9/AL9*1000</f>
        <v>1.30526787581832</v>
      </c>
      <c r="J9" s="2"/>
      <c r="K9" s="138" t="n">
        <v>621421</v>
      </c>
      <c r="L9" s="138" t="n">
        <v>1167237</v>
      </c>
      <c r="M9" s="138" t="n">
        <v>2514200</v>
      </c>
      <c r="N9" s="139" t="s">
        <v>585</v>
      </c>
      <c r="P9" s="136" t="n">
        <f aca="false">SUM(Q9:T9)</f>
        <v>11.21732426849</v>
      </c>
      <c r="Q9" s="140" t="n">
        <f aca="false">V9/$AL9*1000000*Parameters!$C$12*Parameters!$C$3</f>
        <v>10.7732102742299</v>
      </c>
      <c r="R9" s="136" t="n">
        <f aca="false">W9/$AL9*1000000*Parameters!$C$12*Parameters!$C$5</f>
        <v>0.00864398621127003</v>
      </c>
      <c r="S9" s="136" t="n">
        <f aca="false">X9/$AL9*1000000*Parameters!$C$12*Parameters!$C$4</f>
        <v>0</v>
      </c>
      <c r="T9" s="136" t="n">
        <f aca="false">Y9/$AL9*1000000*Parameters!$C$12*Parameters!$C$6</f>
        <v>0.435470008048847</v>
      </c>
      <c r="U9" s="2"/>
      <c r="V9" s="2" t="n">
        <v>2305.7</v>
      </c>
      <c r="W9" s="2" t="n">
        <v>1.85</v>
      </c>
      <c r="X9" s="2"/>
      <c r="Y9" s="2" t="n">
        <v>233</v>
      </c>
      <c r="Z9" s="141" t="str">
        <f aca="false">'Industries data'!N9</f>
        <v>Scope in CSR
prod in annual report</v>
      </c>
      <c r="AB9" s="142" t="n">
        <f aca="false">SUM(AC9:AD9)</f>
        <v>21.5949099365759</v>
      </c>
      <c r="AC9" s="143" t="n">
        <f aca="false">AF9/$AL9*1000*1000</f>
        <v>7.50495283304021</v>
      </c>
      <c r="AD9" s="142" t="n">
        <f aca="false">AG9/$AL9*1000*1000</f>
        <v>14.0899571035356</v>
      </c>
      <c r="AE9" s="2"/>
      <c r="AF9" s="2" t="n">
        <v>14456</v>
      </c>
      <c r="AG9" s="2" t="n">
        <v>27140</v>
      </c>
      <c r="AH9" s="144" t="s">
        <v>583</v>
      </c>
      <c r="AJ9" s="145" t="s">
        <v>584</v>
      </c>
      <c r="AK9" s="138" t="n">
        <v>5940</v>
      </c>
      <c r="AL9" s="139" t="n">
        <f aca="false">AK9*PI()*103.22*1000</f>
        <v>1926194650.59902</v>
      </c>
    </row>
    <row r="10" s="77" customFormat="true" ht="63" hidden="false" customHeight="false" outlineLevel="0" collapsed="false">
      <c r="B10" s="124" t="s">
        <v>256</v>
      </c>
      <c r="C10" s="77" t="n">
        <v>2014</v>
      </c>
      <c r="D10" s="77" t="s">
        <v>581</v>
      </c>
      <c r="F10" s="134" t="n">
        <f aca="false">SUM(G10:H10)</f>
        <v>1.01410962515065</v>
      </c>
      <c r="G10" s="135" t="n">
        <f aca="false">K10/AL10*1000</f>
        <v>0.344318458974223</v>
      </c>
      <c r="H10" s="134" t="n">
        <f aca="false">L10/AL10*1000</f>
        <v>0.669791166176428</v>
      </c>
      <c r="I10" s="136" t="n">
        <f aca="false">M10/AL10*1000</f>
        <v>0.787905819724308</v>
      </c>
      <c r="J10" s="2"/>
      <c r="K10" s="138" t="n">
        <v>628500</v>
      </c>
      <c r="L10" s="138" t="n">
        <v>1222600</v>
      </c>
      <c r="M10" s="138" t="n">
        <v>1438200</v>
      </c>
      <c r="N10" s="139" t="s">
        <v>585</v>
      </c>
      <c r="P10" s="136" t="n">
        <f aca="false">SUM(Q10:T10)</f>
        <v>11.9999338293406</v>
      </c>
      <c r="Q10" s="140" t="n">
        <f aca="false">V10/$AL10*1000000*Parameters!$C$12*Parameters!$C$3</f>
        <v>11.5252181076694</v>
      </c>
      <c r="R10" s="136" t="n">
        <f aca="false">W10/$AL10*1000000*Parameters!$C$12*Parameters!$C$5</f>
        <v>0.00926948023205069</v>
      </c>
      <c r="S10" s="136" t="n">
        <f aca="false">X10/$AL10*1000000*Parameters!$C$12*Parameters!$C$4</f>
        <v>0</v>
      </c>
      <c r="T10" s="136" t="n">
        <f aca="false">Y10/$AL10*1000000*Parameters!$C$12*Parameters!$C$6</f>
        <v>0.465446241439141</v>
      </c>
      <c r="U10" s="2"/>
      <c r="V10" s="2" t="n">
        <v>2337.5</v>
      </c>
      <c r="W10" s="2" t="n">
        <v>1.88</v>
      </c>
      <c r="X10" s="2"/>
      <c r="Y10" s="2" t="n">
        <v>236</v>
      </c>
      <c r="Z10" s="141" t="str">
        <f aca="false">'Industries data'!N10</f>
        <v>Scope in CSR
prod in annual report</v>
      </c>
      <c r="AB10" s="142" t="n">
        <f aca="false">SUM(AC10:AD10)</f>
        <v>22.5371086161998</v>
      </c>
      <c r="AC10" s="143" t="n">
        <f aca="false">AF10/$AL10*1000*1000</f>
        <v>8.05217614956744</v>
      </c>
      <c r="AD10" s="142" t="n">
        <f aca="false">AG10/$AL10*1000*1000</f>
        <v>14.4849324666324</v>
      </c>
      <c r="AE10" s="2"/>
      <c r="AF10" s="2" t="n">
        <v>14698</v>
      </c>
      <c r="AG10" s="2" t="n">
        <v>26440</v>
      </c>
      <c r="AH10" s="144" t="s">
        <v>583</v>
      </c>
      <c r="AJ10" s="145" t="s">
        <v>584</v>
      </c>
      <c r="AK10" s="138" t="n">
        <v>5629</v>
      </c>
      <c r="AL10" s="139" t="n">
        <f aca="false">AK10*PI()*103.22*1000</f>
        <v>1825345065.35722</v>
      </c>
    </row>
    <row r="11" s="77" customFormat="true" ht="31.5" hidden="false" customHeight="false" outlineLevel="0" collapsed="false">
      <c r="B11" s="124" t="s">
        <v>256</v>
      </c>
      <c r="C11" s="77" t="n">
        <v>2013</v>
      </c>
      <c r="D11" s="77" t="s">
        <v>581</v>
      </c>
      <c r="F11" s="134" t="n">
        <f aca="false">SUM(G11:H11)</f>
        <v>1.35555794797508</v>
      </c>
      <c r="G11" s="135" t="n">
        <f aca="false">K11/AL11*1000</f>
        <v>0.360231582937092</v>
      </c>
      <c r="H11" s="134" t="n">
        <f aca="false">L11/AL11*1000</f>
        <v>0.995326365037984</v>
      </c>
      <c r="I11" s="136" t="n">
        <f aca="false">M11/AL11*1000</f>
        <v>0</v>
      </c>
      <c r="J11" s="2"/>
      <c r="K11" s="138" t="n">
        <v>587108</v>
      </c>
      <c r="L11" s="138" t="n">
        <v>1622190</v>
      </c>
      <c r="M11" s="138"/>
      <c r="N11" s="139" t="s">
        <v>585</v>
      </c>
      <c r="P11" s="136" t="n">
        <f aca="false">SUM(Q11:T11)</f>
        <v>12.4004647592464</v>
      </c>
      <c r="Q11" s="140" t="n">
        <f aca="false">V11/$AL11*1000000*Parameters!$C$12*Parameters!$C$3</f>
        <v>11.8989828426515</v>
      </c>
      <c r="R11" s="136" t="n">
        <f aca="false">W11/$AL11*1000000*Parameters!$C$12*Parameters!$C$5</f>
        <v>0</v>
      </c>
      <c r="S11" s="136" t="n">
        <f aca="false">X11/$AL11*1000000*Parameters!$C$12*Parameters!$C$4</f>
        <v>0</v>
      </c>
      <c r="T11" s="136" t="n">
        <f aca="false">Y11/$AL11*1000000*Parameters!$C$12*Parameters!$C$6</f>
        <v>0.501481916594978</v>
      </c>
      <c r="U11" s="2"/>
      <c r="V11" s="2" t="n">
        <v>2154.783</v>
      </c>
      <c r="W11" s="2"/>
      <c r="X11" s="2"/>
      <c r="Y11" s="2" t="n">
        <v>227.033</v>
      </c>
      <c r="Z11" s="141" t="str">
        <f aca="false">'Industries data'!N11</f>
        <v>Scope in CSR
prod in annual report</v>
      </c>
      <c r="AB11" s="142"/>
      <c r="AC11" s="143"/>
      <c r="AD11" s="142"/>
      <c r="AE11" s="2"/>
      <c r="AF11" s="2"/>
      <c r="AG11" s="2"/>
      <c r="AH11" s="144"/>
      <c r="AJ11" s="145" t="s">
        <v>584</v>
      </c>
      <c r="AK11" s="138" t="n">
        <v>5026</v>
      </c>
      <c r="AL11" s="139" t="n">
        <f aca="false">AK11*PI()*103.22*1000</f>
        <v>1629807123.55398</v>
      </c>
    </row>
    <row r="12" s="77" customFormat="true" ht="31.5" hidden="false" customHeight="false" outlineLevel="0" collapsed="false">
      <c r="B12" s="124" t="s">
        <v>256</v>
      </c>
      <c r="C12" s="77" t="n">
        <v>2012</v>
      </c>
      <c r="D12" s="77" t="s">
        <v>581</v>
      </c>
      <c r="F12" s="134" t="n">
        <f aca="false">SUM(G12:H12)</f>
        <v>1.1506684826243</v>
      </c>
      <c r="G12" s="135" t="n">
        <f aca="false">K12/AL12*1000</f>
        <v>0.381469453611448</v>
      </c>
      <c r="H12" s="134" t="n">
        <f aca="false">L12/AL12*1000</f>
        <v>0.769199029012849</v>
      </c>
      <c r="I12" s="136" t="n">
        <f aca="false">M12/AL12*1000</f>
        <v>0</v>
      </c>
      <c r="J12" s="2"/>
      <c r="K12" s="138" t="n">
        <v>560737</v>
      </c>
      <c r="L12" s="138" t="n">
        <v>1130676</v>
      </c>
      <c r="M12" s="138"/>
      <c r="N12" s="139" t="s">
        <v>585</v>
      </c>
      <c r="P12" s="136" t="n">
        <f aca="false">SUM(Q12:T12)</f>
        <v>13.2759888575003</v>
      </c>
      <c r="Q12" s="140" t="n">
        <f aca="false">V12/$AL12*1000000*Parameters!$C$12*Parameters!$C$3</f>
        <v>12.736742973358</v>
      </c>
      <c r="R12" s="136" t="n">
        <f aca="false">W12/$AL12*1000000*Parameters!$C$12*Parameters!$C$5</f>
        <v>0</v>
      </c>
      <c r="S12" s="136" t="n">
        <f aca="false">X12/$AL12*1000000*Parameters!$C$12*Parameters!$C$4</f>
        <v>0</v>
      </c>
      <c r="T12" s="136" t="n">
        <f aca="false">Y12/$AL12*1000000*Parameters!$C$12*Parameters!$C$6</f>
        <v>0.53924588414231</v>
      </c>
      <c r="U12" s="2"/>
      <c r="V12" s="2" t="n">
        <v>2080.249</v>
      </c>
      <c r="W12" s="2"/>
      <c r="X12" s="2"/>
      <c r="Y12" s="2" t="n">
        <v>220.183</v>
      </c>
      <c r="Z12" s="141" t="str">
        <f aca="false">'Industries data'!N12</f>
        <v>Scope in CSR
prod in annual report</v>
      </c>
      <c r="AB12" s="142"/>
      <c r="AC12" s="143"/>
      <c r="AD12" s="142"/>
      <c r="AE12" s="2"/>
      <c r="AF12" s="2"/>
      <c r="AG12" s="2"/>
      <c r="AH12" s="144"/>
      <c r="AJ12" s="145" t="s">
        <v>584</v>
      </c>
      <c r="AK12" s="138" t="n">
        <v>4533</v>
      </c>
      <c r="AL12" s="139" t="n">
        <f aca="false">AK12*PI()*103.22*1000</f>
        <v>1469939453.05814</v>
      </c>
    </row>
    <row r="13" s="77" customFormat="true" ht="31.5" hidden="false" customHeight="false" outlineLevel="0" collapsed="false">
      <c r="B13" s="124" t="s">
        <v>256</v>
      </c>
      <c r="C13" s="77" t="n">
        <v>2011</v>
      </c>
      <c r="D13" s="77" t="s">
        <v>581</v>
      </c>
      <c r="F13" s="134" t="n">
        <f aca="false">SUM(G13:H13)</f>
        <v>1.27236267277083</v>
      </c>
      <c r="G13" s="135" t="n">
        <f aca="false">K13/AL13*1000</f>
        <v>0.420037619173828</v>
      </c>
      <c r="H13" s="134" t="n">
        <f aca="false">L13/AL13*1000</f>
        <v>0.852325053597003</v>
      </c>
      <c r="I13" s="136" t="n">
        <f aca="false">M13/AL13*1000</f>
        <v>0</v>
      </c>
      <c r="J13" s="137"/>
      <c r="K13" s="138" t="n">
        <v>595228</v>
      </c>
      <c r="L13" s="138" t="n">
        <v>1207815</v>
      </c>
      <c r="M13" s="138"/>
      <c r="N13" s="139" t="s">
        <v>585</v>
      </c>
      <c r="P13" s="136" t="n">
        <f aca="false">SUM(Q13:T13)</f>
        <v>13.2510232265815</v>
      </c>
      <c r="Q13" s="140" t="n">
        <f aca="false">V13/$AL13*1000000*Parameters!$C$12*Parameters!$C$3</f>
        <v>12.6951668481642</v>
      </c>
      <c r="R13" s="136" t="n">
        <f aca="false">W13/$AL13*1000000*Parameters!$C$12*Parameters!$C$5</f>
        <v>0</v>
      </c>
      <c r="S13" s="136" t="n">
        <f aca="false">X13/$AL13*1000000*Parameters!$C$12*Parameters!$C$4</f>
        <v>0</v>
      </c>
      <c r="T13" s="136" t="n">
        <f aca="false">Y13/$AL13*1000000*Parameters!$C$12*Parameters!$C$6</f>
        <v>0.555856378417273</v>
      </c>
      <c r="U13" s="2"/>
      <c r="V13" s="2" t="n">
        <v>1998.9</v>
      </c>
      <c r="W13" s="2"/>
      <c r="X13" s="2"/>
      <c r="Y13" s="2" t="n">
        <v>218.804</v>
      </c>
      <c r="Z13" s="141" t="str">
        <f aca="false">'Industries data'!N13</f>
        <v>Scope in CSR
prod in annual report</v>
      </c>
      <c r="AB13" s="142"/>
      <c r="AC13" s="143"/>
      <c r="AD13" s="142"/>
      <c r="AE13" s="2"/>
      <c r="AF13" s="2"/>
      <c r="AG13" s="2"/>
      <c r="AH13" s="144"/>
      <c r="AJ13" s="145" t="s">
        <v>584</v>
      </c>
      <c r="AK13" s="138" t="n">
        <v>4370</v>
      </c>
      <c r="AL13" s="139" t="n">
        <f aca="false">AK13*PI()*103.22*1000</f>
        <v>1417082596.48446</v>
      </c>
    </row>
    <row r="14" s="147" customFormat="true" ht="33.75" hidden="false" customHeight="false" outlineLevel="0" collapsed="false">
      <c r="B14" s="148"/>
      <c r="F14" s="149"/>
      <c r="G14" s="150" t="s">
        <v>560</v>
      </c>
      <c r="H14" s="149" t="s">
        <v>561</v>
      </c>
      <c r="I14" s="151" t="s">
        <v>562</v>
      </c>
      <c r="J14" s="74"/>
      <c r="K14" s="151" t="s">
        <v>563</v>
      </c>
      <c r="L14" s="151" t="s">
        <v>564</v>
      </c>
      <c r="M14" s="151" t="s">
        <v>565</v>
      </c>
      <c r="N14" s="152" t="s">
        <v>486</v>
      </c>
      <c r="P14" s="151"/>
      <c r="Q14" s="153" t="s">
        <v>567</v>
      </c>
      <c r="R14" s="151" t="s">
        <v>568</v>
      </c>
      <c r="S14" s="151" t="s">
        <v>569</v>
      </c>
      <c r="T14" s="151" t="s">
        <v>570</v>
      </c>
      <c r="U14" s="74"/>
      <c r="V14" s="151" t="s">
        <v>571</v>
      </c>
      <c r="W14" s="151" t="s">
        <v>572</v>
      </c>
      <c r="X14" s="151" t="s">
        <v>573</v>
      </c>
      <c r="Y14" s="151" t="s">
        <v>574</v>
      </c>
      <c r="Z14" s="152" t="s">
        <v>486</v>
      </c>
      <c r="AB14" s="151"/>
      <c r="AC14" s="153" t="s">
        <v>575</v>
      </c>
      <c r="AD14" s="151" t="s">
        <v>576</v>
      </c>
      <c r="AE14" s="151"/>
      <c r="AF14" s="151" t="s">
        <v>577</v>
      </c>
      <c r="AG14" s="151" t="s">
        <v>578</v>
      </c>
      <c r="AH14" s="152" t="s">
        <v>486</v>
      </c>
      <c r="AJ14" s="153"/>
      <c r="AK14" s="151"/>
      <c r="AL14" s="152"/>
    </row>
    <row r="15" s="77" customFormat="true" ht="31.5" hidden="false" customHeight="false" outlineLevel="0" collapsed="false">
      <c r="B15" s="124" t="s">
        <v>272</v>
      </c>
      <c r="C15" s="77" t="n">
        <v>2020</v>
      </c>
      <c r="D15" s="77" t="s">
        <v>581</v>
      </c>
      <c r="F15" s="134" t="n">
        <f aca="false">SUM(G15:H15)</f>
        <v>1.12226791869981</v>
      </c>
      <c r="G15" s="135" t="n">
        <f aca="false">K15/AL15*1000</f>
        <v>0.251898060917678</v>
      </c>
      <c r="H15" s="134" t="n">
        <f aca="false">L15/AL15*1000</f>
        <v>0.870369857782129</v>
      </c>
      <c r="I15" s="136" t="n">
        <f aca="false">M15/AL15*1000</f>
        <v>0.645634309834371</v>
      </c>
      <c r="J15" s="2"/>
      <c r="K15" s="154" t="n">
        <v>2150339</v>
      </c>
      <c r="L15" s="154" t="n">
        <v>7429951</v>
      </c>
      <c r="M15" s="154" t="n">
        <v>5511486</v>
      </c>
      <c r="N15" s="139" t="s">
        <v>586</v>
      </c>
      <c r="P15" s="136" t="n">
        <f aca="false">SUM(Q15:T15)</f>
        <v>17.2671741410948</v>
      </c>
      <c r="Q15" s="140" t="n">
        <f aca="false">V15/$AL15*1000000*Parameters!$C$12*Parameters!$C$3</f>
        <v>15.6035033147028</v>
      </c>
      <c r="R15" s="136" t="n">
        <f aca="false">W15/$AL15*1000000*Parameters!$C$12*Parameters!$C$5</f>
        <v>1.29677764034355</v>
      </c>
      <c r="S15" s="136" t="n">
        <f aca="false">X15/$AL15*1000000*Parameters!$C$12*Parameters!$C$4</f>
        <v>0</v>
      </c>
      <c r="T15" s="136" t="n">
        <f aca="false">Y15/$AL15*1000000*Parameters!$C$12*Parameters!$C$6</f>
        <v>0.366893186048418</v>
      </c>
      <c r="U15" s="2"/>
      <c r="V15" s="2" t="n">
        <v>14800</v>
      </c>
      <c r="W15" s="2" t="n">
        <v>1230</v>
      </c>
      <c r="X15" s="2"/>
      <c r="Y15" s="2" t="n">
        <v>870</v>
      </c>
      <c r="Z15" s="141" t="str">
        <f aca="false">'Industries data'!N15</f>
        <v>Scope in CSR
prod in annual report with 90% loading assumption</v>
      </c>
      <c r="AB15" s="142" t="n">
        <f aca="false">SUM(AC15:AD15)</f>
        <v>28.5361366926547</v>
      </c>
      <c r="AC15" s="143" t="n">
        <f aca="false">AF15/$AL15*1000*1000</f>
        <v>8.27032533046561</v>
      </c>
      <c r="AD15" s="142" t="n">
        <f aca="false">AG15/$AL15*1000*1000</f>
        <v>20.2658113621891</v>
      </c>
      <c r="AE15" s="154"/>
      <c r="AF15" s="2" t="n">
        <v>70600</v>
      </c>
      <c r="AG15" s="2" t="n">
        <v>173000</v>
      </c>
      <c r="AH15" s="141" t="str">
        <f aca="false">'Industries data'!N15</f>
        <v>Scope in CSR
prod in annual report with 90% loading assumption</v>
      </c>
      <c r="AJ15" s="145" t="s">
        <v>584</v>
      </c>
      <c r="AK15" s="155" t="n">
        <f aca="false">26325</f>
        <v>26325</v>
      </c>
      <c r="AL15" s="139" t="n">
        <f aca="false">AK15*PI()*103.22*1000</f>
        <v>8536544474.24565</v>
      </c>
    </row>
    <row r="16" s="77" customFormat="true" ht="31.5" hidden="false" customHeight="false" outlineLevel="0" collapsed="false">
      <c r="B16" s="124" t="s">
        <v>272</v>
      </c>
      <c r="C16" s="77" t="n">
        <v>2019</v>
      </c>
      <c r="D16" s="77" t="s">
        <v>581</v>
      </c>
      <c r="F16" s="134" t="n">
        <f aca="false">SUM(G16:H16)</f>
        <v>1.03406061045842</v>
      </c>
      <c r="G16" s="135" t="n">
        <f aca="false">K16/AL16*1000</f>
        <v>0.207846605142261</v>
      </c>
      <c r="H16" s="134" t="n">
        <f aca="false">L16/AL16*1000</f>
        <v>0.826214005316158</v>
      </c>
      <c r="I16" s="136" t="n">
        <f aca="false">M16/AL16*1000</f>
        <v>0.657063756964201</v>
      </c>
      <c r="J16" s="2"/>
      <c r="K16" s="154" t="n">
        <v>1678753</v>
      </c>
      <c r="L16" s="154" t="n">
        <v>6673235</v>
      </c>
      <c r="M16" s="154" t="n">
        <v>5307028</v>
      </c>
      <c r="N16" s="139" t="s">
        <v>586</v>
      </c>
      <c r="P16" s="136" t="n">
        <f aca="false">SUM(Q16:T16)</f>
        <v>15.4627940692545</v>
      </c>
      <c r="Q16" s="140" t="n">
        <f aca="false">V16/$AL16*1000000*Parameters!$C$12*Parameters!$C$3</f>
        <v>14.1091532993846</v>
      </c>
      <c r="R16" s="136" t="n">
        <f aca="false">W16/$AL16*1000000*Parameters!$C$12*Parameters!$C$5</f>
        <v>1.02291918566064</v>
      </c>
      <c r="S16" s="136" t="n">
        <f aca="false">X16/$AL16*1000000*Parameters!$C$12*Parameters!$C$4</f>
        <v>0</v>
      </c>
      <c r="T16" s="136" t="n">
        <f aca="false">Y16/$AL16*1000000*Parameters!$C$12*Parameters!$C$6</f>
        <v>0.330721584209236</v>
      </c>
      <c r="U16" s="2"/>
      <c r="V16" s="2" t="n">
        <v>12662</v>
      </c>
      <c r="W16" s="2" t="n">
        <v>918</v>
      </c>
      <c r="X16" s="2"/>
      <c r="Y16" s="2" t="n">
        <v>742</v>
      </c>
      <c r="Z16" s="141" t="str">
        <f aca="false">'Industries data'!N16</f>
        <v>Scope in CSR
prod in annual report with 90% loading assumption</v>
      </c>
      <c r="AB16" s="142" t="n">
        <f aca="false">SUM(AC16:AD16)</f>
        <v>23.7220183941635</v>
      </c>
      <c r="AC16" s="143" t="n">
        <f aca="false">AF16/$AL16*1000*1000</f>
        <v>7.18098677902654</v>
      </c>
      <c r="AD16" s="142" t="n">
        <f aca="false">AG16/$AL16*1000*1000</f>
        <v>16.541031615137</v>
      </c>
      <c r="AE16" s="154"/>
      <c r="AF16" s="2" t="n">
        <v>58000</v>
      </c>
      <c r="AG16" s="2" t="n">
        <v>133600</v>
      </c>
      <c r="AH16" s="141" t="str">
        <f aca="false">'Industries data'!N16</f>
        <v>Scope in CSR
prod in annual report with 90% loading assumption</v>
      </c>
      <c r="AJ16" s="145" t="s">
        <v>584</v>
      </c>
      <c r="AK16" s="154" t="n">
        <v>24907.5</v>
      </c>
      <c r="AL16" s="139" t="n">
        <f aca="false">AK16*PI()*103.22*1000</f>
        <v>8076884387.17088</v>
      </c>
    </row>
    <row r="17" s="77" customFormat="true" ht="31.5" hidden="false" customHeight="false" outlineLevel="0" collapsed="false">
      <c r="B17" s="124" t="s">
        <v>272</v>
      </c>
      <c r="C17" s="77" t="n">
        <v>2018</v>
      </c>
      <c r="D17" s="77" t="s">
        <v>581</v>
      </c>
      <c r="F17" s="134" t="n">
        <f aca="false">SUM(G17:H17)</f>
        <v>1.01926293981331</v>
      </c>
      <c r="G17" s="135" t="n">
        <f aca="false">K17/AL17*1000</f>
        <v>0.216468326917877</v>
      </c>
      <c r="H17" s="134" t="n">
        <f aca="false">L17/AL17*1000</f>
        <v>0.802794612895431</v>
      </c>
      <c r="I17" s="136" t="n">
        <f aca="false">M17/AL17*1000</f>
        <v>0.547659742663395</v>
      </c>
      <c r="J17" s="2"/>
      <c r="K17" s="154" t="n">
        <v>1705746</v>
      </c>
      <c r="L17" s="154" t="n">
        <v>6325931</v>
      </c>
      <c r="M17" s="154" t="n">
        <v>4315497</v>
      </c>
      <c r="N17" s="139" t="s">
        <v>586</v>
      </c>
      <c r="P17" s="136" t="n">
        <f aca="false">SUM(Q17:T17)</f>
        <v>14.538862929191</v>
      </c>
      <c r="Q17" s="140" t="n">
        <f aca="false">V17/$AL17*1000000*Parameters!$C$12*Parameters!$C$3</f>
        <v>13.2078032674882</v>
      </c>
      <c r="R17" s="136" t="n">
        <f aca="false">W17/$AL17*1000000*Parameters!$C$12*Parameters!$C$5</f>
        <v>1.00166408384531</v>
      </c>
      <c r="S17" s="136" t="n">
        <f aca="false">X17/$AL17*1000000*Parameters!$C$12*Parameters!$C$4</f>
        <v>0</v>
      </c>
      <c r="T17" s="136" t="n">
        <f aca="false">Y17/$AL17*1000000*Parameters!$C$12*Parameters!$C$6</f>
        <v>0.329395577857454</v>
      </c>
      <c r="U17" s="2"/>
      <c r="V17" s="2" t="n">
        <v>11564</v>
      </c>
      <c r="W17" s="2" t="n">
        <v>877</v>
      </c>
      <c r="X17" s="2"/>
      <c r="Y17" s="2" t="n">
        <v>721</v>
      </c>
      <c r="Z17" s="141" t="str">
        <f aca="false">'Industries data'!N17</f>
        <v>Scope in CSR
prod in annual report with 90% loading assumption</v>
      </c>
      <c r="AB17" s="142" t="n">
        <f aca="false">SUM(AC17:AD17)</f>
        <v>22.8429665643172</v>
      </c>
      <c r="AC17" s="143" t="n">
        <f aca="false">AF17/$AL17*1000*1000</f>
        <v>6.47217385988987</v>
      </c>
      <c r="AD17" s="142" t="n">
        <f aca="false">AG17/$AL17*1000*1000</f>
        <v>16.3707927044273</v>
      </c>
      <c r="AE17" s="154"/>
      <c r="AF17" s="2" t="n">
        <v>51000</v>
      </c>
      <c r="AG17" s="2" t="n">
        <v>129000</v>
      </c>
      <c r="AH17" s="141" t="str">
        <f aca="false">'Industries data'!N17</f>
        <v>Scope in CSR
prod in annual report with 90% loading assumption</v>
      </c>
      <c r="AJ17" s="145" t="s">
        <v>584</v>
      </c>
      <c r="AK17" s="154" t="n">
        <v>24300</v>
      </c>
      <c r="AL17" s="139" t="n">
        <f aca="false">AK17*PI()*103.22*1000</f>
        <v>7879887206.99598</v>
      </c>
    </row>
    <row r="18" s="77" customFormat="true" ht="31.5" hidden="false" customHeight="false" outlineLevel="0" collapsed="false">
      <c r="B18" s="124" t="s">
        <v>272</v>
      </c>
      <c r="C18" s="77" t="n">
        <v>2017</v>
      </c>
      <c r="D18" s="77" t="s">
        <v>581</v>
      </c>
      <c r="F18" s="134" t="n">
        <f aca="false">SUM(G18:H18)</f>
        <v>1.01624371108665</v>
      </c>
      <c r="G18" s="135" t="n">
        <f aca="false">K18/AL18*1000</f>
        <v>0.22677541953725</v>
      </c>
      <c r="H18" s="134" t="n">
        <f aca="false">L18/AL18*1000</f>
        <v>0.7894682915494</v>
      </c>
      <c r="I18" s="136" t="n">
        <f aca="false">M18/AL18*1000</f>
        <v>0.587344032432809</v>
      </c>
      <c r="J18" s="2"/>
      <c r="K18" s="154" t="n">
        <v>1638051</v>
      </c>
      <c r="L18" s="154" t="n">
        <v>5702511</v>
      </c>
      <c r="M18" s="154" t="n">
        <v>4242521</v>
      </c>
      <c r="N18" s="139" t="s">
        <v>586</v>
      </c>
      <c r="P18" s="136" t="n">
        <f aca="false">SUM(Q18:T18)</f>
        <v>14.5002167830308</v>
      </c>
      <c r="Q18" s="140" t="n">
        <f aca="false">V18/$AL18*1000000*Parameters!$C$12*Parameters!$C$3</f>
        <v>14.0646221769825</v>
      </c>
      <c r="R18" s="136" t="n">
        <f aca="false">W18/$AL18*1000000*Parameters!$C$12*Parameters!$C$5</f>
        <v>0.12459799944173</v>
      </c>
      <c r="S18" s="136" t="n">
        <f aca="false">X18/$AL18*1000000*Parameters!$C$12*Parameters!$C$4</f>
        <v>0</v>
      </c>
      <c r="T18" s="136" t="n">
        <f aca="false">Y18/$AL18*1000000*Parameters!$C$12*Parameters!$C$6</f>
        <v>0.310996606606558</v>
      </c>
      <c r="U18" s="2"/>
      <c r="V18" s="2" t="n">
        <v>11288</v>
      </c>
      <c r="W18" s="2" t="n">
        <v>100</v>
      </c>
      <c r="X18" s="2"/>
      <c r="Y18" s="2" t="n">
        <v>624</v>
      </c>
      <c r="Z18" s="141" t="str">
        <f aca="false">'Industries data'!N18</f>
        <v>Scope in CSR
prod in annual report with 90% loading assumption</v>
      </c>
      <c r="AB18" s="142" t="n">
        <f aca="false">SUM(AC18:AD18)</f>
        <v>20.5725141300457</v>
      </c>
      <c r="AC18" s="143" t="n">
        <f aca="false">AF18/$AL18*1000*1000</f>
        <v>6.25758841640689</v>
      </c>
      <c r="AD18" s="142" t="n">
        <f aca="false">AG18/$AL18*1000*1000</f>
        <v>14.3149257136388</v>
      </c>
      <c r="AE18" s="154"/>
      <c r="AF18" s="2" t="n">
        <v>45200</v>
      </c>
      <c r="AG18" s="2" t="n">
        <v>103400</v>
      </c>
      <c r="AH18" s="141" t="str">
        <f aca="false">'Industries data'!N18</f>
        <v>Scope in CSR
prod in annual report with 90% loading assumption</v>
      </c>
      <c r="AJ18" s="145" t="s">
        <v>584</v>
      </c>
      <c r="AK18" s="154" t="n">
        <v>22275</v>
      </c>
      <c r="AL18" s="139" t="n">
        <f aca="false">AK18*PI()*103.22*1000</f>
        <v>7223229939.74632</v>
      </c>
    </row>
    <row r="19" s="77" customFormat="true" ht="31.5" hidden="false" customHeight="false" outlineLevel="0" collapsed="false">
      <c r="B19" s="124" t="s">
        <v>272</v>
      </c>
      <c r="C19" s="77" t="n">
        <v>2016</v>
      </c>
      <c r="D19" s="77" t="s">
        <v>581</v>
      </c>
      <c r="F19" s="134" t="n">
        <f aca="false">SUM(G19:H19)</f>
        <v>1.01710821353944</v>
      </c>
      <c r="G19" s="135" t="n">
        <f aca="false">K19/AL19*1000</f>
        <v>0.251008872086893</v>
      </c>
      <c r="H19" s="134" t="n">
        <f aca="false">L19/AL19*1000</f>
        <v>0.76609934145255</v>
      </c>
      <c r="I19" s="136" t="n">
        <f aca="false">M19/AL19*1000</f>
        <v>0.574258778219883</v>
      </c>
      <c r="J19" s="2"/>
      <c r="K19" s="154" t="n">
        <v>1648268</v>
      </c>
      <c r="L19" s="154" t="n">
        <v>5030647</v>
      </c>
      <c r="M19" s="154" t="n">
        <v>3770912</v>
      </c>
      <c r="N19" s="139" t="s">
        <v>586</v>
      </c>
      <c r="P19" s="136" t="n">
        <f aca="false">SUM(Q19:T19)</f>
        <v>13.0917609973415</v>
      </c>
      <c r="Q19" s="140" t="n">
        <f aca="false">V19/$AL19*1000000*Parameters!$C$12*Parameters!$C$3</f>
        <v>12.551753267761</v>
      </c>
      <c r="R19" s="136" t="n">
        <f aca="false">W19/$AL19*1000000*Parameters!$C$12*Parameters!$C$5</f>
        <v>0.274115598771806</v>
      </c>
      <c r="S19" s="136" t="n">
        <f aca="false">X19/$AL19*1000000*Parameters!$C$12*Parameters!$C$4</f>
        <v>0</v>
      </c>
      <c r="T19" s="136" t="n">
        <f aca="false">Y19/$AL19*1000000*Parameters!$C$12*Parameters!$C$6</f>
        <v>0.265892130808652</v>
      </c>
      <c r="U19" s="2"/>
      <c r="V19" s="2" t="n">
        <v>9158</v>
      </c>
      <c r="W19" s="2" t="n">
        <v>200</v>
      </c>
      <c r="X19" s="2"/>
      <c r="Y19" s="2" t="n">
        <v>485</v>
      </c>
      <c r="Z19" s="141" t="str">
        <f aca="false">'Industries data'!N19</f>
        <v>Scope in CSR
prod in annual report with 90% loading assumption</v>
      </c>
      <c r="AB19" s="142" t="n">
        <f aca="false">SUM(AC19:AD19)</f>
        <v>20.238868375985</v>
      </c>
      <c r="AC19" s="143" t="n">
        <f aca="false">AF19/$AL19*1000*1000</f>
        <v>5.87825672921762</v>
      </c>
      <c r="AD19" s="142" t="n">
        <f aca="false">AG19/$AL19*1000*1000</f>
        <v>14.3606116467674</v>
      </c>
      <c r="AE19" s="154"/>
      <c r="AF19" s="2" t="n">
        <v>38600</v>
      </c>
      <c r="AG19" s="2" t="n">
        <v>94300</v>
      </c>
      <c r="AH19" s="141" t="str">
        <f aca="false">'Industries data'!N19</f>
        <v>Scope in CSR
prod in annual report with 90% loading assumption</v>
      </c>
      <c r="AJ19" s="145" t="s">
        <v>584</v>
      </c>
      <c r="AK19" s="154" t="n">
        <v>20250</v>
      </c>
      <c r="AL19" s="139" t="n">
        <f aca="false">AK19*PI()*103.22*1000</f>
        <v>6566572672.49665</v>
      </c>
    </row>
    <row r="20" s="77" customFormat="true" ht="31.5" hidden="false" customHeight="false" outlineLevel="0" collapsed="false">
      <c r="B20" s="124" t="s">
        <v>272</v>
      </c>
      <c r="C20" s="77" t="n">
        <v>2015</v>
      </c>
      <c r="D20" s="77" t="s">
        <v>581</v>
      </c>
      <c r="F20" s="134" t="n">
        <f aca="false">SUM(G20:H20)</f>
        <v>0.995348934229653</v>
      </c>
      <c r="G20" s="135" t="n">
        <f aca="false">K20/AL20*1000</f>
        <v>0.265090427285824</v>
      </c>
      <c r="H20" s="134" t="n">
        <f aca="false">L20/AL20*1000</f>
        <v>0.730258506943829</v>
      </c>
      <c r="I20" s="136" t="n">
        <f aca="false">M20/AL20*1000</f>
        <v>0.583111223037207</v>
      </c>
      <c r="J20" s="2"/>
      <c r="K20" s="154" t="n">
        <v>1566662</v>
      </c>
      <c r="L20" s="154" t="n">
        <v>4315766</v>
      </c>
      <c r="M20" s="154" t="n">
        <v>3446138</v>
      </c>
      <c r="N20" s="139" t="s">
        <v>586</v>
      </c>
      <c r="P20" s="136" t="n">
        <f aca="false">SUM(Q20:T20)</f>
        <v>13.1575487410467</v>
      </c>
      <c r="Q20" s="140" t="n">
        <f aca="false">V20/$AL20*1000000*Parameters!$C$12*Parameters!$C$3</f>
        <v>12.7311466985128</v>
      </c>
      <c r="R20" s="136" t="n">
        <f aca="false">W20/$AL20*1000000*Parameters!$C$12*Parameters!$C$5</f>
        <v>0.152286443762115</v>
      </c>
      <c r="S20" s="136" t="n">
        <f aca="false">X20/$AL20*1000000*Parameters!$C$12*Parameters!$C$4</f>
        <v>0</v>
      </c>
      <c r="T20" s="136" t="n">
        <f aca="false">Y20/$AL20*1000000*Parameters!$C$12*Parameters!$C$6</f>
        <v>0.274115598771806</v>
      </c>
      <c r="U20" s="2"/>
      <c r="V20" s="2" t="n">
        <v>8360</v>
      </c>
      <c r="W20" s="2" t="n">
        <v>100</v>
      </c>
      <c r="X20" s="2"/>
      <c r="Y20" s="2" t="n">
        <v>450</v>
      </c>
      <c r="Z20" s="141" t="str">
        <f aca="false">'Industries data'!N20</f>
        <v>Scope in CSR
prod in annual report with 90% loading assumption</v>
      </c>
      <c r="AB20" s="142" t="n">
        <f aca="false">SUM(AC20:AD20)</f>
        <v>20.2202555884141</v>
      </c>
      <c r="AC20" s="143" t="n">
        <f aca="false">AF20/$AL20*1000*1000</f>
        <v>5.75304343101322</v>
      </c>
      <c r="AD20" s="142" t="n">
        <f aca="false">AG20/$AL20*1000*1000</f>
        <v>14.4672121574009</v>
      </c>
      <c r="AE20" s="154"/>
      <c r="AF20" s="2" t="n">
        <v>34000</v>
      </c>
      <c r="AG20" s="2" t="n">
        <v>85500</v>
      </c>
      <c r="AH20" s="141" t="str">
        <f aca="false">'Industries data'!N20</f>
        <v>Scope in CSR
prod in annual report with 90% loading assumption</v>
      </c>
      <c r="AJ20" s="145" t="s">
        <v>584</v>
      </c>
      <c r="AK20" s="154" t="n">
        <v>18225</v>
      </c>
      <c r="AL20" s="139" t="n">
        <f aca="false">AK20*PI()*103.22*1000</f>
        <v>5909915405.24699</v>
      </c>
    </row>
    <row r="21" s="77" customFormat="true" ht="31.5" hidden="false" customHeight="false" outlineLevel="0" collapsed="false">
      <c r="B21" s="124" t="s">
        <v>272</v>
      </c>
      <c r="C21" s="77" t="n">
        <v>2014</v>
      </c>
      <c r="D21" s="77" t="s">
        <v>581</v>
      </c>
      <c r="F21" s="134" t="n">
        <f aca="false">SUM(G21:H21)</f>
        <v>1.06499049790324</v>
      </c>
      <c r="G21" s="135" t="n">
        <f aca="false">K21/AL21*1000</f>
        <v>0.315137378844116</v>
      </c>
      <c r="H21" s="134" t="n">
        <f aca="false">L21/AL21*1000</f>
        <v>0.74985311905912</v>
      </c>
      <c r="I21" s="136" t="n">
        <f aca="false">M21/AL21*1000</f>
        <v>0</v>
      </c>
      <c r="J21" s="2"/>
      <c r="K21" s="154" t="n">
        <v>1655498</v>
      </c>
      <c r="L21" s="154" t="n">
        <v>3939172</v>
      </c>
      <c r="M21" s="154"/>
      <c r="N21" s="139" t="s">
        <v>586</v>
      </c>
      <c r="P21" s="136" t="n">
        <f aca="false">SUM(Q21:T21)</f>
        <v>12.4355967827815</v>
      </c>
      <c r="Q21" s="140" t="n">
        <f aca="false">V21/$AL21*1000000*Parameters!$C$12*Parameters!$C$3</f>
        <v>12.1450342480833</v>
      </c>
      <c r="R21" s="136" t="n">
        <f aca="false">W21/$AL21*1000000*Parameters!$C$12*Parameters!$C$5</f>
        <v>0</v>
      </c>
      <c r="S21" s="136" t="n">
        <f aca="false">X21/$AL21*1000000*Parameters!$C$12*Parameters!$C$4</f>
        <v>0</v>
      </c>
      <c r="T21" s="136" t="n">
        <f aca="false">Y21/$AL21*1000000*Parameters!$C$12*Parameters!$C$6</f>
        <v>0.290562534698115</v>
      </c>
      <c r="U21" s="2"/>
      <c r="V21" s="2" t="n">
        <v>7089</v>
      </c>
      <c r="W21" s="2"/>
      <c r="X21" s="2"/>
      <c r="Y21" s="2" t="n">
        <v>424</v>
      </c>
      <c r="Z21" s="141" t="str">
        <f aca="false">'Industries data'!N21</f>
        <v>Scope in CSR
prod in annual report with 90% loading assumption</v>
      </c>
      <c r="AB21" s="142" t="n">
        <f aca="false">SUM(AC21:AD21)</f>
        <v>17.3454259445048</v>
      </c>
      <c r="AC21" s="143" t="n">
        <f aca="false">AF21/$AL21*1000*1000</f>
        <v>6.64349610912225</v>
      </c>
      <c r="AD21" s="142" t="n">
        <f aca="false">AG21/$AL21*1000*1000</f>
        <v>10.7019298353826</v>
      </c>
      <c r="AE21" s="154"/>
      <c r="AF21" s="2" t="n">
        <v>34900</v>
      </c>
      <c r="AG21" s="2" t="n">
        <v>56220</v>
      </c>
      <c r="AH21" s="141" t="str">
        <f aca="false">'Industries data'!N21</f>
        <v>Scope in CSR
prod in annual report with 90% loading assumption</v>
      </c>
      <c r="AJ21" s="145" t="s">
        <v>584</v>
      </c>
      <c r="AK21" s="154" t="n">
        <v>16200</v>
      </c>
      <c r="AL21" s="139" t="n">
        <f aca="false">AK21*PI()*103.22*1000</f>
        <v>5253258137.99732</v>
      </c>
    </row>
    <row r="22" s="77" customFormat="true" ht="31.5" hidden="false" customHeight="false" outlineLevel="0" collapsed="false">
      <c r="B22" s="124" t="s">
        <v>272</v>
      </c>
      <c r="C22" s="77" t="n">
        <v>2013</v>
      </c>
      <c r="D22" s="77" t="s">
        <v>581</v>
      </c>
      <c r="F22" s="134" t="n">
        <f aca="false">SUM(G22:H22)</f>
        <v>0.916259540669126</v>
      </c>
      <c r="G22" s="135" t="n">
        <f aca="false">K22/AL22*1000</f>
        <v>0.284119912545424</v>
      </c>
      <c r="H22" s="134" t="n">
        <f aca="false">L22/AL22*1000</f>
        <v>0.632139628123702</v>
      </c>
      <c r="I22" s="136" t="n">
        <f aca="false">M22/AL22*1000</f>
        <v>0</v>
      </c>
      <c r="J22" s="2"/>
      <c r="K22" s="154" t="n">
        <v>1443218</v>
      </c>
      <c r="L22" s="154" t="n">
        <v>3211022</v>
      </c>
      <c r="M22" s="154"/>
      <c r="N22" s="139" t="s">
        <v>586</v>
      </c>
      <c r="P22" s="136" t="n">
        <f aca="false">SUM(Q22:T22)</f>
        <v>10.5081321019552</v>
      </c>
      <c r="Q22" s="140" t="n">
        <f aca="false">V22/$AL22*1000000*Parameters!$C$12*Parameters!$C$3</f>
        <v>10.244489750709</v>
      </c>
      <c r="R22" s="136" t="n">
        <f aca="false">W22/$AL22*1000000*Parameters!$C$12*Parameters!$C$5</f>
        <v>0</v>
      </c>
      <c r="S22" s="136" t="n">
        <f aca="false">X22/$AL22*1000000*Parameters!$C$12*Parameters!$C$4</f>
        <v>0</v>
      </c>
      <c r="T22" s="136" t="n">
        <f aca="false">Y22/$AL22*1000000*Parameters!$C$12*Parameters!$C$6</f>
        <v>0.263642351246196</v>
      </c>
      <c r="U22" s="2"/>
      <c r="V22" s="2" t="n">
        <v>5782</v>
      </c>
      <c r="W22" s="2"/>
      <c r="X22" s="2"/>
      <c r="Y22" s="2" t="n">
        <v>372</v>
      </c>
      <c r="Z22" s="141" t="str">
        <f aca="false">'Industries data'!N22</f>
        <v>Scope in CSR
prod in annual report with 90% loading assumption</v>
      </c>
      <c r="AB22" s="142" t="n">
        <f aca="false">SUM(AC22:AD22)</f>
        <v>16.1291949205502</v>
      </c>
      <c r="AC22" s="143" t="n">
        <f aca="false">AF22/$AL22*1000*1000</f>
        <v>5.84690698328257</v>
      </c>
      <c r="AD22" s="142" t="n">
        <f aca="false">AG22/$AL22*1000*1000</f>
        <v>10.2822879372676</v>
      </c>
      <c r="AE22" s="154"/>
      <c r="AF22" s="2" t="n">
        <v>29700</v>
      </c>
      <c r="AG22" s="2" t="n">
        <v>52230</v>
      </c>
      <c r="AH22" s="141" t="str">
        <f aca="false">'Industries data'!N22</f>
        <v>Scope in CSR
prod in annual report with 90% loading assumption</v>
      </c>
      <c r="AJ22" s="145" t="s">
        <v>584</v>
      </c>
      <c r="AK22" s="154" t="n">
        <v>15664.5</v>
      </c>
      <c r="AL22" s="139" t="n">
        <f aca="false">AK22*PI()*103.22*1000</f>
        <v>5079608771.76908</v>
      </c>
    </row>
    <row r="23" s="77" customFormat="true" ht="31.5" hidden="false" customHeight="false" outlineLevel="0" collapsed="false">
      <c r="B23" s="124" t="s">
        <v>272</v>
      </c>
      <c r="C23" s="77" t="n">
        <v>2012</v>
      </c>
      <c r="D23" s="77" t="s">
        <v>581</v>
      </c>
      <c r="F23" s="134" t="n">
        <f aca="false">SUM(G23:H23)</f>
        <v>0.862336965394389</v>
      </c>
      <c r="G23" s="135" t="n">
        <f aca="false">K23/AL23*1000</f>
        <v>0.276371224038957</v>
      </c>
      <c r="H23" s="134" t="n">
        <f aca="false">L23/AL23*1000</f>
        <v>0.585965741355432</v>
      </c>
      <c r="I23" s="136" t="n">
        <f aca="false">M23/AL23*1000</f>
        <v>0</v>
      </c>
      <c r="J23" s="2"/>
      <c r="K23" s="154" t="n">
        <v>1291662</v>
      </c>
      <c r="L23" s="154" t="n">
        <v>2738598</v>
      </c>
      <c r="M23" s="154"/>
      <c r="N23" s="139" t="s">
        <v>586</v>
      </c>
      <c r="P23" s="136" t="n">
        <f aca="false">SUM(Q23:T23)</f>
        <v>10.0197518981556</v>
      </c>
      <c r="Q23" s="140" t="n">
        <f aca="false">V23/$AL23*1000000*Parameters!$C$12*Parameters!$C$3</f>
        <v>9.76710132753794</v>
      </c>
      <c r="R23" s="136" t="n">
        <f aca="false">W23/$AL23*1000000*Parameters!$C$12*Parameters!$C$5</f>
        <v>0</v>
      </c>
      <c r="S23" s="136" t="n">
        <f aca="false">X23/$AL23*1000000*Parameters!$C$12*Parameters!$C$4</f>
        <v>0</v>
      </c>
      <c r="T23" s="136" t="n">
        <f aca="false">Y23/$AL23*1000000*Parameters!$C$12*Parameters!$C$6</f>
        <v>0.252650570617701</v>
      </c>
      <c r="U23" s="2"/>
      <c r="V23" s="2" t="n">
        <v>5072</v>
      </c>
      <c r="W23" s="2"/>
      <c r="X23" s="2"/>
      <c r="Y23" s="2" t="n">
        <v>328</v>
      </c>
      <c r="Z23" s="141" t="str">
        <f aca="false">'Industries data'!N23</f>
        <v>Scope in CSR
prod in annual report with 90% loading assumption</v>
      </c>
      <c r="AB23" s="142" t="n">
        <f aca="false">SUM(AC23:AD23)</f>
        <v>16.9396558907549</v>
      </c>
      <c r="AC23" s="143" t="n">
        <f aca="false">AF23/$AL23*1000*1000</f>
        <v>5.52031226451277</v>
      </c>
      <c r="AD23" s="142" t="n">
        <f aca="false">AG23/$AL23*1000*1000</f>
        <v>11.4193436262421</v>
      </c>
      <c r="AE23" s="154"/>
      <c r="AF23" s="2" t="n">
        <v>25800</v>
      </c>
      <c r="AG23" s="2" t="n">
        <v>53370</v>
      </c>
      <c r="AH23" s="141" t="str">
        <f aca="false">'Industries data'!N23</f>
        <v>Scope in CSR
prod in annual report with 90% loading assumption</v>
      </c>
      <c r="AJ23" s="145" t="s">
        <v>584</v>
      </c>
      <c r="AK23" s="154" t="n">
        <v>14412.6</v>
      </c>
      <c r="AL23" s="139" t="n">
        <f aca="false">AK23*PI()*103.22*1000</f>
        <v>4673648656.77162</v>
      </c>
    </row>
    <row r="24" s="77" customFormat="true" ht="31.5" hidden="false" customHeight="false" outlineLevel="0" collapsed="false">
      <c r="B24" s="124" t="s">
        <v>272</v>
      </c>
      <c r="C24" s="77" t="n">
        <v>2011</v>
      </c>
      <c r="D24" s="77" t="s">
        <v>581</v>
      </c>
      <c r="F24" s="134" t="n">
        <f aca="false">SUM(G24:H24)</f>
        <v>0.833516113792945</v>
      </c>
      <c r="G24" s="135" t="n">
        <f aca="false">K24/AL24*1000</f>
        <v>0.257953594664187</v>
      </c>
      <c r="H24" s="134" t="n">
        <f aca="false">L24/AL24*1000</f>
        <v>0.575562519128758</v>
      </c>
      <c r="I24" s="136" t="n">
        <f aca="false">M24/AL24*1000</f>
        <v>0</v>
      </c>
      <c r="J24" s="2"/>
      <c r="K24" s="154" t="n">
        <v>1051254</v>
      </c>
      <c r="L24" s="154" t="n">
        <v>2345625</v>
      </c>
      <c r="M24" s="154"/>
      <c r="N24" s="139" t="s">
        <v>586</v>
      </c>
      <c r="P24" s="136" t="n">
        <f aca="false">SUM(Q24:T24)</f>
        <v>9.95897069069754</v>
      </c>
      <c r="Q24" s="140" t="n">
        <f aca="false">V24/$AL24*1000000*Parameters!$C$12*Parameters!$C$3</f>
        <v>9.67717969811882</v>
      </c>
      <c r="R24" s="136" t="n">
        <f aca="false">W24/$AL24*1000000*Parameters!$C$12*Parameters!$C$5</f>
        <v>0</v>
      </c>
      <c r="S24" s="136" t="n">
        <f aca="false">X24/$AL24*1000000*Parameters!$C$12*Parameters!$C$4</f>
        <v>0</v>
      </c>
      <c r="T24" s="136" t="n">
        <f aca="false">Y24/$AL24*1000000*Parameters!$C$12*Parameters!$C$6</f>
        <v>0.281790992578722</v>
      </c>
      <c r="U24" s="2"/>
      <c r="V24" s="2" t="n">
        <v>4382</v>
      </c>
      <c r="W24" s="2"/>
      <c r="X24" s="2"/>
      <c r="Y24" s="2" t="n">
        <v>319</v>
      </c>
      <c r="Z24" s="141" t="str">
        <f aca="false">'Industries data'!N24</f>
        <v>Scope in CSR
prod in annual report with 90% loading assumption</v>
      </c>
      <c r="AB24" s="142" t="n">
        <f aca="false">SUM(AC24:AD24)</f>
        <v>15.2207377827048</v>
      </c>
      <c r="AC24" s="143" t="n">
        <f aca="false">AF24/$AL24*1000*1000</f>
        <v>5.96266206867202</v>
      </c>
      <c r="AD24" s="142" t="n">
        <f aca="false">AG24/$AL24*1000*1000</f>
        <v>9.25807571403273</v>
      </c>
      <c r="AE24" s="154"/>
      <c r="AF24" s="2" t="n">
        <v>24300</v>
      </c>
      <c r="AG24" s="2" t="n">
        <v>37730</v>
      </c>
      <c r="AH24" s="141" t="str">
        <f aca="false">'Industries data'!N24</f>
        <v>Scope in CSR
prod in annual report with 90% loading assumption</v>
      </c>
      <c r="AJ24" s="145" t="s">
        <v>584</v>
      </c>
      <c r="AK24" s="154" t="n">
        <v>12567.6</v>
      </c>
      <c r="AL24" s="139" t="n">
        <f aca="false">AK24*PI()*103.22*1000</f>
        <v>4075360924.38859</v>
      </c>
    </row>
    <row r="25" s="77" customFormat="true" ht="31.5" hidden="false" customHeight="false" outlineLevel="0" collapsed="false">
      <c r="B25" s="124" t="s">
        <v>272</v>
      </c>
      <c r="C25" s="77" t="n">
        <v>2010</v>
      </c>
      <c r="D25" s="77" t="s">
        <v>581</v>
      </c>
      <c r="F25" s="134" t="n">
        <f aca="false">SUM(G25:H25)</f>
        <v>0.887962859759968</v>
      </c>
      <c r="G25" s="135" t="n">
        <f aca="false">K25/AL25*1000</f>
        <v>0.323759394396103</v>
      </c>
      <c r="H25" s="134" t="n">
        <f aca="false">L25/AL25*1000</f>
        <v>0.564203465363866</v>
      </c>
      <c r="I25" s="136" t="n">
        <f aca="false">M25/AL25*1000</f>
        <v>0</v>
      </c>
      <c r="J25" s="2"/>
      <c r="K25" s="154" t="n">
        <v>1175625</v>
      </c>
      <c r="L25" s="154" t="n">
        <v>2048718</v>
      </c>
      <c r="M25" s="154"/>
      <c r="N25" s="139" t="s">
        <v>586</v>
      </c>
      <c r="P25" s="136" t="n">
        <f aca="false">SUM(Q25:T25)</f>
        <v>9.90325769377277</v>
      </c>
      <c r="Q25" s="140" t="n">
        <f aca="false">V25/$AL25*1000000*Parameters!$C$12*Parameters!$C$3</f>
        <v>9.62665253844565</v>
      </c>
      <c r="R25" s="136" t="n">
        <f aca="false">W25/$AL25*1000000*Parameters!$C$12*Parameters!$C$5</f>
        <v>0</v>
      </c>
      <c r="S25" s="136" t="n">
        <f aca="false">X25/$AL25*1000000*Parameters!$C$12*Parameters!$C$4</f>
        <v>0</v>
      </c>
      <c r="T25" s="136" t="n">
        <f aca="false">Y25/$AL25*1000000*Parameters!$C$12*Parameters!$C$6</f>
        <v>0.27660515532712</v>
      </c>
      <c r="U25" s="2"/>
      <c r="V25" s="2" t="n">
        <v>3884</v>
      </c>
      <c r="W25" s="2"/>
      <c r="X25" s="2"/>
      <c r="Y25" s="2" t="n">
        <v>279</v>
      </c>
      <c r="Z25" s="141" t="str">
        <f aca="false">'Industries data'!N25</f>
        <v>Scope in CSR
prod in annual report with 90% loading assumption</v>
      </c>
      <c r="AB25" s="142" t="n">
        <f aca="false">SUM(AC25:AD25)</f>
        <v>15.6864094458709</v>
      </c>
      <c r="AC25" s="143" t="n">
        <f aca="false">AF25/$AL25*1000*1000</f>
        <v>6.14127336100635</v>
      </c>
      <c r="AD25" s="142" t="n">
        <f aca="false">AG25/$AL25*1000*1000</f>
        <v>9.54513608486458</v>
      </c>
      <c r="AE25" s="154"/>
      <c r="AF25" s="2" t="n">
        <v>22300</v>
      </c>
      <c r="AG25" s="2" t="n">
        <v>34660</v>
      </c>
      <c r="AH25" s="141" t="str">
        <f aca="false">'Industries data'!N25</f>
        <v>Scope in CSR
prod in annual report with 90% loading assumption</v>
      </c>
      <c r="AJ25" s="145" t="s">
        <v>584</v>
      </c>
      <c r="AK25" s="154" t="n">
        <v>11197.8</v>
      </c>
      <c r="AL25" s="139" t="n">
        <f aca="false">AK25*PI()*103.22*1000</f>
        <v>3631168764.05348</v>
      </c>
    </row>
    <row r="26" s="147" customFormat="true" ht="33.75" hidden="false" customHeight="false" outlineLevel="0" collapsed="false">
      <c r="B26" s="148"/>
      <c r="F26" s="149"/>
      <c r="G26" s="150" t="s">
        <v>560</v>
      </c>
      <c r="H26" s="149" t="s">
        <v>561</v>
      </c>
      <c r="I26" s="151" t="s">
        <v>562</v>
      </c>
      <c r="J26" s="74"/>
      <c r="K26" s="151" t="s">
        <v>563</v>
      </c>
      <c r="L26" s="151" t="s">
        <v>564</v>
      </c>
      <c r="M26" s="151" t="s">
        <v>565</v>
      </c>
      <c r="N26" s="152" t="s">
        <v>486</v>
      </c>
      <c r="P26" s="151"/>
      <c r="Q26" s="153" t="s">
        <v>567</v>
      </c>
      <c r="R26" s="151" t="s">
        <v>568</v>
      </c>
      <c r="S26" s="151" t="s">
        <v>569</v>
      </c>
      <c r="T26" s="151" t="s">
        <v>570</v>
      </c>
      <c r="U26" s="74"/>
      <c r="V26" s="151" t="s">
        <v>571</v>
      </c>
      <c r="W26" s="151" t="s">
        <v>572</v>
      </c>
      <c r="X26" s="151" t="s">
        <v>573</v>
      </c>
      <c r="Y26" s="151" t="s">
        <v>574</v>
      </c>
      <c r="Z26" s="152" t="s">
        <v>486</v>
      </c>
      <c r="AB26" s="151"/>
      <c r="AC26" s="153" t="s">
        <v>575</v>
      </c>
      <c r="AD26" s="151" t="s">
        <v>576</v>
      </c>
      <c r="AE26" s="151"/>
      <c r="AF26" s="151" t="s">
        <v>577</v>
      </c>
      <c r="AG26" s="151" t="s">
        <v>578</v>
      </c>
      <c r="AH26" s="152" t="s">
        <v>486</v>
      </c>
      <c r="AJ26" s="153"/>
      <c r="AK26" s="151"/>
      <c r="AL26" s="152"/>
      <c r="AN26" s="156" t="s">
        <v>587</v>
      </c>
      <c r="AO26" s="157" t="s">
        <v>588</v>
      </c>
      <c r="AP26" s="158" t="s">
        <v>589</v>
      </c>
      <c r="AQ26" s="158" t="s">
        <v>590</v>
      </c>
      <c r="AR26" s="159"/>
    </row>
    <row r="27" s="77" customFormat="true" ht="63" hidden="false" customHeight="false" outlineLevel="0" collapsed="false">
      <c r="B27" s="124" t="s">
        <v>291</v>
      </c>
      <c r="C27" s="77" t="n">
        <v>2020</v>
      </c>
      <c r="D27" s="77" t="s">
        <v>581</v>
      </c>
      <c r="F27" s="134" t="n">
        <f aca="false">SUM(G27:H27)</f>
        <v>0.594509750426473</v>
      </c>
      <c r="G27" s="135" t="n">
        <f aca="false">K27/AL27*1000</f>
        <v>0.27517308448311</v>
      </c>
      <c r="H27" s="134" t="n">
        <f aca="false">L27/AL27*1000</f>
        <v>0.319336665943363</v>
      </c>
      <c r="I27" s="136" t="n">
        <f aca="false">M27/AL27*1000</f>
        <v>0.0486931795587397</v>
      </c>
      <c r="J27" s="2"/>
      <c r="K27" s="136" t="n">
        <v>486000</v>
      </c>
      <c r="L27" s="136" t="n">
        <v>564000</v>
      </c>
      <c r="M27" s="136" t="n">
        <v>86000</v>
      </c>
      <c r="N27" s="144" t="s">
        <v>591</v>
      </c>
      <c r="P27" s="136" t="n">
        <f aca="false">SUM(Q27:T27)</f>
        <v>12.7741460774493</v>
      </c>
      <c r="Q27" s="140" t="n">
        <f aca="false">V27/$AL27*1000000*Parameters!$C$12*Parameters!$C$3</f>
        <v>7.0525842393449</v>
      </c>
      <c r="R27" s="136" t="n">
        <f aca="false">W27/$AL27*1000000*Parameters!$C$12*Parameters!$C$5</f>
        <v>5.30982137095187</v>
      </c>
      <c r="S27" s="136" t="n">
        <f aca="false">X27/$AL27*1000000*Parameters!$C$12*Parameters!$C$4</f>
        <v>0</v>
      </c>
      <c r="T27" s="136" t="n">
        <f aca="false">Y27/$AL27*1000000*Parameters!$C$12*Parameters!$C$6</f>
        <v>0.411740467152506</v>
      </c>
      <c r="U27" s="2"/>
      <c r="V27" s="2" t="n">
        <v>1384</v>
      </c>
      <c r="W27" s="2" t="n">
        <v>1042</v>
      </c>
      <c r="X27" s="2"/>
      <c r="Y27" s="2" t="n">
        <v>202</v>
      </c>
      <c r="Z27" s="144" t="str">
        <f aca="false">'Industries data'!N27</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27" s="142" t="n">
        <f aca="false">SUM(AC27:AD27)</f>
        <v>19.2824991052609</v>
      </c>
      <c r="AC27" s="143" t="n">
        <f aca="false">AF27/$AL27*1000*1000</f>
        <v>11.4502577932139</v>
      </c>
      <c r="AD27" s="142" t="n">
        <f aca="false">AG27/$AL27*1000*1000</f>
        <v>7.83224131204705</v>
      </c>
      <c r="AE27" s="2"/>
      <c r="AF27" s="2" t="n">
        <v>20223</v>
      </c>
      <c r="AG27" s="2" t="n">
        <v>13833</v>
      </c>
      <c r="AH27" s="144" t="str">
        <f aca="false">'Industries data'!N27</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27" s="145" t="s">
        <v>581</v>
      </c>
      <c r="AK27" s="154" t="n">
        <f aca="false">AQ$30/AQ27*SUM(AF27:AG27)/SUM(AF$30:AG$30)*AK$30</f>
        <v>5446.48848596542</v>
      </c>
      <c r="AL27" s="139" t="n">
        <f aca="false">AK27*PI()*103.22*1000</f>
        <v>1766161108.79053</v>
      </c>
      <c r="AN27" s="145"/>
      <c r="AQ27" s="160" t="n">
        <v>105</v>
      </c>
      <c r="AR27" s="161"/>
    </row>
    <row r="28" s="77" customFormat="true" ht="63" hidden="false" customHeight="false" outlineLevel="0" collapsed="false">
      <c r="B28" s="124" t="s">
        <v>291</v>
      </c>
      <c r="C28" s="77" t="n">
        <v>2019</v>
      </c>
      <c r="D28" s="77" t="s">
        <v>581</v>
      </c>
      <c r="F28" s="134" t="n">
        <f aca="false">SUM(G28:H28)</f>
        <v>0.656152718989242</v>
      </c>
      <c r="G28" s="135" t="n">
        <f aca="false">K28/AL28*1000</f>
        <v>0.290291552404295</v>
      </c>
      <c r="H28" s="134" t="n">
        <f aca="false">L28/AL28*1000</f>
        <v>0.365861166584947</v>
      </c>
      <c r="I28" s="136" t="n">
        <f aca="false">M28/AL28*1000</f>
        <v>0.0745272746747114</v>
      </c>
      <c r="J28" s="2"/>
      <c r="K28" s="136" t="n">
        <v>557000</v>
      </c>
      <c r="L28" s="136" t="n">
        <v>702000</v>
      </c>
      <c r="M28" s="136" t="n">
        <v>143000</v>
      </c>
      <c r="N28" s="144" t="s">
        <v>591</v>
      </c>
      <c r="P28" s="136" t="n">
        <f aca="false">SUM(Q28:T28)</f>
        <v>11.0762122919704</v>
      </c>
      <c r="Q28" s="140" t="n">
        <f aca="false">V28/$AL28*1000000*Parameters!$C$12*Parameters!$C$3</f>
        <v>7.61741710940966</v>
      </c>
      <c r="R28" s="136" t="n">
        <f aca="false">W28/$AL28*1000000*Parameters!$C$12*Parameters!$C$5</f>
        <v>3.08167674931167</v>
      </c>
      <c r="S28" s="136" t="n">
        <f aca="false">X28/$AL28*1000000*Parameters!$C$12*Parameters!$C$4</f>
        <v>0</v>
      </c>
      <c r="T28" s="136" t="n">
        <f aca="false">Y28/$AL28*1000000*Parameters!$C$12*Parameters!$C$6</f>
        <v>0.377118433249099</v>
      </c>
      <c r="U28" s="2"/>
      <c r="V28" s="2" t="n">
        <v>1624</v>
      </c>
      <c r="W28" s="2" t="n">
        <v>657</v>
      </c>
      <c r="X28" s="2"/>
      <c r="Y28" s="2" t="n">
        <v>201</v>
      </c>
      <c r="Z28" s="144" t="str">
        <f aca="false">'Industries data'!N28</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28" s="142" t="n">
        <f aca="false">SUM(AC28:AD28)</f>
        <v>16.5278563759379</v>
      </c>
      <c r="AC28" s="143" t="n">
        <f aca="false">AF28/$AL28*1000*1000</f>
        <v>9.8204016552139</v>
      </c>
      <c r="AD28" s="142" t="n">
        <f aca="false">AG28/$AL28*1000*1000</f>
        <v>6.70745472072403</v>
      </c>
      <c r="AE28" s="2"/>
      <c r="AF28" s="2" t="n">
        <v>18843</v>
      </c>
      <c r="AG28" s="2" t="n">
        <v>12870</v>
      </c>
      <c r="AH28" s="144" t="str">
        <f aca="false">'Industries data'!N28</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28" s="145" t="s">
        <v>581</v>
      </c>
      <c r="AK28" s="154" t="n">
        <f aca="false">AQ$30/AQ28*SUM(AF28:AG28)/SUM(AF$30:AG$30)*AK$30</f>
        <v>5917.0749426824</v>
      </c>
      <c r="AL28" s="139" t="n">
        <f aca="false">AK28*PI()*103.22*1000</f>
        <v>1918760623.19669</v>
      </c>
      <c r="AN28" s="145"/>
      <c r="AQ28" s="160" t="n">
        <v>90</v>
      </c>
      <c r="AR28" s="161"/>
    </row>
    <row r="29" s="77" customFormat="true" ht="63" hidden="false" customHeight="false" outlineLevel="0" collapsed="false">
      <c r="B29" s="124" t="s">
        <v>291</v>
      </c>
      <c r="C29" s="77" t="n">
        <v>2018</v>
      </c>
      <c r="D29" s="77" t="s">
        <v>581</v>
      </c>
      <c r="F29" s="134" t="n">
        <f aca="false">SUM(G29:H29)</f>
        <v>0.722134435076647</v>
      </c>
      <c r="G29" s="135" t="n">
        <f aca="false">K29/AL29*1000</f>
        <v>0.324079844034397</v>
      </c>
      <c r="H29" s="134" t="n">
        <f aca="false">L29/AL29*1000</f>
        <v>0.398054591042249</v>
      </c>
      <c r="I29" s="136" t="n">
        <f aca="false">M29/AL29*1000</f>
        <v>0.0689424512930318</v>
      </c>
      <c r="J29" s="2"/>
      <c r="K29" s="136" t="n">
        <v>644000</v>
      </c>
      <c r="L29" s="136" t="n">
        <v>791000</v>
      </c>
      <c r="M29" s="136" t="n">
        <v>137000</v>
      </c>
      <c r="N29" s="144" t="s">
        <v>591</v>
      </c>
      <c r="P29" s="136" t="n">
        <f aca="false">SUM(Q29:T29)</f>
        <v>10.5491008610625</v>
      </c>
      <c r="Q29" s="140" t="n">
        <f aca="false">V29/$AL29*1000000*Parameters!$C$12*Parameters!$C$3</f>
        <v>7.84434256026116</v>
      </c>
      <c r="R29" s="136" t="n">
        <f aca="false">W29/$AL29*1000000*Parameters!$C$12*Parameters!$C$5</f>
        <v>2.35511439453568</v>
      </c>
      <c r="S29" s="136" t="n">
        <f aca="false">X29/$AL29*1000000*Parameters!$C$12*Parameters!$C$4</f>
        <v>0</v>
      </c>
      <c r="T29" s="136" t="n">
        <f aca="false">Y29/$AL29*1000000*Parameters!$C$12*Parameters!$C$6</f>
        <v>0.349643906265682</v>
      </c>
      <c r="U29" s="2"/>
      <c r="V29" s="2" t="n">
        <v>1732</v>
      </c>
      <c r="W29" s="2" t="n">
        <v>520</v>
      </c>
      <c r="X29" s="2"/>
      <c r="Y29" s="2" t="n">
        <v>193</v>
      </c>
      <c r="Z29" s="144" t="str">
        <f aca="false">'Industries data'!N29</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29" s="142" t="n">
        <f aca="false">SUM(AC29:AD29)</f>
        <v>15.4259992842087</v>
      </c>
      <c r="AC29" s="143" t="n">
        <f aca="false">AF29/$AL29*1000*1000</f>
        <v>9.16079111925803</v>
      </c>
      <c r="AD29" s="142" t="n">
        <f aca="false">AG29/$AL29*1000*1000</f>
        <v>6.2652081649507</v>
      </c>
      <c r="AE29" s="2"/>
      <c r="AF29" s="2" t="n">
        <v>18204</v>
      </c>
      <c r="AG29" s="2" t="n">
        <v>12450</v>
      </c>
      <c r="AH29" s="144" t="str">
        <f aca="false">'Industries data'!N29</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29" s="145" t="s">
        <v>581</v>
      </c>
      <c r="AK29" s="154" t="n">
        <f aca="false">AQ$30/AQ29*SUM(AF29:AG29)/SUM(AF$30:AG$30)*AK$30</f>
        <v>6128.01922013684</v>
      </c>
      <c r="AL29" s="139" t="n">
        <f aca="false">AK29*PI()*103.22*1000</f>
        <v>1987164619.62888</v>
      </c>
      <c r="AN29" s="145"/>
      <c r="AQ29" s="160" t="n">
        <v>84</v>
      </c>
      <c r="AR29" s="161"/>
    </row>
    <row r="30" s="77" customFormat="true" ht="63" hidden="false" customHeight="false" outlineLevel="0" collapsed="false">
      <c r="B30" s="124" t="s">
        <v>291</v>
      </c>
      <c r="C30" s="77" t="n">
        <v>2017</v>
      </c>
      <c r="D30" s="77" t="s">
        <v>581</v>
      </c>
      <c r="F30" s="134" t="n">
        <f aca="false">SUM(G30:H30)</f>
        <v>0.735086952097313</v>
      </c>
      <c r="G30" s="135" t="n">
        <f aca="false">K30/AL30*1000</f>
        <v>0.326765324040319</v>
      </c>
      <c r="H30" s="134" t="n">
        <f aca="false">L30/AL30*1000</f>
        <v>0.408321628056994</v>
      </c>
      <c r="I30" s="136" t="n">
        <f aca="false">M30/AL30*1000</f>
        <v>0.0712942525178878</v>
      </c>
      <c r="J30" s="2"/>
      <c r="K30" s="136" t="n">
        <v>605000</v>
      </c>
      <c r="L30" s="136" t="n">
        <v>756000</v>
      </c>
      <c r="M30" s="136" t="n">
        <v>132000</v>
      </c>
      <c r="N30" s="144" t="s">
        <v>591</v>
      </c>
      <c r="P30" s="136" t="n">
        <f aca="false">SUM(Q30:T30)</f>
        <v>10.9498249923951</v>
      </c>
      <c r="Q30" s="140" t="n">
        <f aca="false">V30/$AL30*1000000*Parameters!$C$12*Parameters!$C$3</f>
        <v>7.5782549778673</v>
      </c>
      <c r="R30" s="136" t="n">
        <f aca="false">W30/$AL30*1000000*Parameters!$C$12*Parameters!$C$5</f>
        <v>2.98463666222612</v>
      </c>
      <c r="S30" s="136" t="n">
        <f aca="false">X30/$AL30*1000000*Parameters!$C$12*Parameters!$C$4</f>
        <v>0</v>
      </c>
      <c r="T30" s="136" t="n">
        <f aca="false">Y30/$AL30*1000000*Parameters!$C$12*Parameters!$C$6</f>
        <v>0.386933352301627</v>
      </c>
      <c r="U30" s="2"/>
      <c r="V30" s="2" t="n">
        <v>1559</v>
      </c>
      <c r="W30" s="2" t="n">
        <v>614</v>
      </c>
      <c r="X30" s="2"/>
      <c r="Y30" s="2" t="n">
        <v>199</v>
      </c>
      <c r="Z30" s="144" t="str">
        <f aca="false">'Industries data'!N30</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0" s="142" t="n">
        <f aca="false">SUM(AC30:AD30)</f>
        <v>16.1605706786949</v>
      </c>
      <c r="AC30" s="143" t="n">
        <f aca="false">AF30/$AL30*1000*1000</f>
        <v>9.21640246185786</v>
      </c>
      <c r="AD30" s="142" t="n">
        <f aca="false">AG30/$AL30*1000*1000</f>
        <v>6.944168216837</v>
      </c>
      <c r="AE30" s="2"/>
      <c r="AF30" s="2" t="n">
        <v>17064</v>
      </c>
      <c r="AG30" s="2" t="n">
        <v>12857</v>
      </c>
      <c r="AH30" s="144" t="str">
        <f aca="false">'Industries data'!N30</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0" s="145" t="s">
        <v>584</v>
      </c>
      <c r="AK30" s="154" t="n">
        <f aca="false">AN30*AO30*AP30/100</f>
        <v>5709.6</v>
      </c>
      <c r="AL30" s="139" t="n">
        <f aca="false">AK30*PI()*103.22*1000</f>
        <v>1851481645.96972</v>
      </c>
      <c r="AN30" s="162" t="n">
        <v>122</v>
      </c>
      <c r="AO30" s="77" t="n">
        <v>52</v>
      </c>
      <c r="AP30" s="77" t="n">
        <v>90</v>
      </c>
      <c r="AQ30" s="160" t="n">
        <v>88</v>
      </c>
      <c r="AR30" s="163" t="s">
        <v>592</v>
      </c>
    </row>
    <row r="31" s="77" customFormat="true" ht="63" hidden="false" customHeight="false" outlineLevel="0" collapsed="false">
      <c r="B31" s="124" t="s">
        <v>291</v>
      </c>
      <c r="C31" s="77" t="n">
        <v>2016</v>
      </c>
      <c r="D31" s="77" t="s">
        <v>581</v>
      </c>
      <c r="F31" s="134" t="n">
        <f aca="false">SUM(G31:H31)</f>
        <v>0.803285835910519</v>
      </c>
      <c r="G31" s="135" t="n">
        <f aca="false">K31/AL31*1000</f>
        <v>0.343465361287844</v>
      </c>
      <c r="H31" s="134" t="n">
        <f aca="false">L31/AL31*1000</f>
        <v>0.459820474622675</v>
      </c>
      <c r="I31" s="136" t="n">
        <f aca="false">M31/AL31*1000</f>
        <v>0.0703108438868231</v>
      </c>
      <c r="J31" s="2"/>
      <c r="K31" s="136" t="n">
        <v>552000</v>
      </c>
      <c r="L31" s="136" t="n">
        <v>739000</v>
      </c>
      <c r="M31" s="136" t="n">
        <v>113000</v>
      </c>
      <c r="N31" s="144" t="s">
        <v>591</v>
      </c>
      <c r="P31" s="136" t="n">
        <f aca="false">SUM(Q31:T31)</f>
        <v>12.1620337768197</v>
      </c>
      <c r="Q31" s="140" t="n">
        <f aca="false">V31/$AL31*1000000*Parameters!$C$12*Parameters!$C$3</f>
        <v>8.67996701080692</v>
      </c>
      <c r="R31" s="136" t="n">
        <f aca="false">W31/$AL31*1000000*Parameters!$C$12*Parameters!$C$5</f>
        <v>3.04078844314075</v>
      </c>
      <c r="S31" s="136" t="n">
        <f aca="false">X31/$AL31*1000000*Parameters!$C$12*Parameters!$C$4</f>
        <v>0</v>
      </c>
      <c r="T31" s="136" t="n">
        <f aca="false">Y31/$AL31*1000000*Parameters!$C$12*Parameters!$C$6</f>
        <v>0.441278322871991</v>
      </c>
      <c r="U31" s="2"/>
      <c r="V31" s="2" t="n">
        <v>1550</v>
      </c>
      <c r="W31" s="2" t="n">
        <v>543</v>
      </c>
      <c r="X31" s="2"/>
      <c r="Y31" s="2" t="n">
        <v>197</v>
      </c>
      <c r="Z31" s="144" t="str">
        <f aca="false">'Industries data'!N31</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1" s="142" t="n">
        <f aca="false">SUM(AC31:AD31)</f>
        <v>18.1806420135317</v>
      </c>
      <c r="AC31" s="143" t="n">
        <f aca="false">AF31/$AL31*1000*1000</f>
        <v>10.2174722784559</v>
      </c>
      <c r="AD31" s="142" t="n">
        <f aca="false">AG31/$AL31*1000*1000</f>
        <v>7.96316973507577</v>
      </c>
      <c r="AE31" s="2"/>
      <c r="AF31" s="2" t="n">
        <v>16421</v>
      </c>
      <c r="AG31" s="2" t="n">
        <v>12798</v>
      </c>
      <c r="AH31" s="144" t="str">
        <f aca="false">'Industries data'!N31</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1" s="145" t="s">
        <v>581</v>
      </c>
      <c r="AK31" s="154" t="n">
        <f aca="false">AQ$30/AQ31*SUM(AF31:AG31)/SUM(AF$30:AG$30)*AK$30</f>
        <v>4956.12676046923</v>
      </c>
      <c r="AL31" s="139" t="n">
        <f aca="false">AK31*PI()*103.22*1000</f>
        <v>1607148965.27045</v>
      </c>
      <c r="AN31" s="145"/>
      <c r="AQ31" s="160" t="n">
        <v>99</v>
      </c>
      <c r="AR31" s="161"/>
    </row>
    <row r="32" s="77" customFormat="true" ht="63" hidden="false" customHeight="false" outlineLevel="0" collapsed="false">
      <c r="B32" s="124" t="s">
        <v>291</v>
      </c>
      <c r="C32" s="77" t="n">
        <v>2015</v>
      </c>
      <c r="D32" s="77" t="s">
        <v>581</v>
      </c>
      <c r="F32" s="134" t="n">
        <f aca="false">SUM(G32:H32)</f>
        <v>0.803670006123754</v>
      </c>
      <c r="G32" s="135" t="n">
        <f aca="false">K32/AL32*1000</f>
        <v>0.349289685201178</v>
      </c>
      <c r="H32" s="134" t="n">
        <f aca="false">L32/AL32*1000</f>
        <v>0.454380320922576</v>
      </c>
      <c r="I32" s="136" t="n">
        <f aca="false">M32/AL32*1000</f>
        <v>0.0820071434820157</v>
      </c>
      <c r="J32" s="2"/>
      <c r="K32" s="136" t="n">
        <v>575000</v>
      </c>
      <c r="L32" s="136" t="n">
        <v>748000</v>
      </c>
      <c r="M32" s="136" t="n">
        <v>135000</v>
      </c>
      <c r="N32" s="144" t="s">
        <v>591</v>
      </c>
      <c r="P32" s="136" t="n">
        <f aca="false">SUM(Q32:T32)</f>
        <v>11.8232432329472</v>
      </c>
      <c r="Q32" s="140" t="n">
        <f aca="false">V32/$AL32*1000000*Parameters!$C$12*Parameters!$C$3</f>
        <v>8.61075006561165</v>
      </c>
      <c r="R32" s="136" t="n">
        <f aca="false">W32/$AL32*1000000*Parameters!$C$12*Parameters!$C$5</f>
        <v>2.79917716418614</v>
      </c>
      <c r="S32" s="136" t="n">
        <f aca="false">X32/$AL32*1000000*Parameters!$C$12*Parameters!$C$4</f>
        <v>0</v>
      </c>
      <c r="T32" s="136" t="n">
        <f aca="false">Y32/$AL32*1000000*Parameters!$C$12*Parameters!$C$6</f>
        <v>0.413316003149359</v>
      </c>
      <c r="U32" s="2"/>
      <c r="V32" s="2" t="n">
        <v>1575</v>
      </c>
      <c r="W32" s="2" t="n">
        <v>512</v>
      </c>
      <c r="X32" s="2"/>
      <c r="Y32" s="2" t="n">
        <v>189</v>
      </c>
      <c r="Z32" s="144" t="str">
        <f aca="false">'Industries data'!N32</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2" s="142" t="n">
        <f aca="false">SUM(AC32:AD32)</f>
        <v>17.6297134676671</v>
      </c>
      <c r="AC32" s="143" t="n">
        <f aca="false">AF32/$AL32*1000*1000</f>
        <v>9.68413245474292</v>
      </c>
      <c r="AD32" s="142" t="n">
        <f aca="false">AG32/$AL32*1000*1000</f>
        <v>7.94558101292419</v>
      </c>
      <c r="AE32" s="2"/>
      <c r="AF32" s="2" t="n">
        <v>15942</v>
      </c>
      <c r="AG32" s="2" t="n">
        <v>13080</v>
      </c>
      <c r="AH32" s="144" t="str">
        <f aca="false">'Industries data'!N32</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2" s="145" t="s">
        <v>581</v>
      </c>
      <c r="AK32" s="154" t="n">
        <f aca="false">AQ$30/AQ32*SUM(AF32:AG32)/SUM(AF$30:AG$30)*AK$30</f>
        <v>5076.5463587447</v>
      </c>
      <c r="AL32" s="139" t="n">
        <f aca="false">AK32*PI()*103.22*1000</f>
        <v>1646198053.82693</v>
      </c>
      <c r="AN32" s="145"/>
      <c r="AQ32" s="160" t="n">
        <v>96</v>
      </c>
      <c r="AR32" s="161"/>
    </row>
    <row r="33" s="77" customFormat="true" ht="63" hidden="false" customHeight="false" outlineLevel="0" collapsed="false">
      <c r="B33" s="124" t="s">
        <v>291</v>
      </c>
      <c r="C33" s="77" t="n">
        <v>2014</v>
      </c>
      <c r="D33" s="77" t="s">
        <v>581</v>
      </c>
      <c r="F33" s="134" t="n">
        <f aca="false">SUM(G33:H33)</f>
        <v>0.856030061665553</v>
      </c>
      <c r="G33" s="135" t="n">
        <f aca="false">K33/AL33*1000</f>
        <v>0.381677221226949</v>
      </c>
      <c r="H33" s="134" t="n">
        <f aca="false">L33/AL33*1000</f>
        <v>0.474352840438604</v>
      </c>
      <c r="I33" s="136" t="n">
        <f aca="false">M33/AL33*1000</f>
        <v>0.0737746705566467</v>
      </c>
      <c r="J33" s="2"/>
      <c r="K33" s="136" t="n">
        <v>626000</v>
      </c>
      <c r="L33" s="136" t="n">
        <v>778000</v>
      </c>
      <c r="M33" s="136" t="n">
        <v>121000</v>
      </c>
      <c r="N33" s="144" t="s">
        <v>591</v>
      </c>
      <c r="P33" s="136" t="n">
        <f aca="false">SUM(Q33:T33)</f>
        <v>12.06124407398</v>
      </c>
      <c r="Q33" s="140" t="n">
        <f aca="false">V33/$AL33*1000000*Parameters!$C$12*Parameters!$C$3</f>
        <v>9.14196206881289</v>
      </c>
      <c r="R33" s="136" t="n">
        <f aca="false">W33/$AL33*1000000*Parameters!$C$12*Parameters!$C$5</f>
        <v>2.51321646309502</v>
      </c>
      <c r="S33" s="136" t="n">
        <f aca="false">X33/$AL33*1000000*Parameters!$C$12*Parameters!$C$4</f>
        <v>0</v>
      </c>
      <c r="T33" s="136" t="n">
        <f aca="false">Y33/$AL33*1000000*Parameters!$C$12*Parameters!$C$6</f>
        <v>0.406065542072121</v>
      </c>
      <c r="U33" s="2"/>
      <c r="V33" s="2" t="n">
        <v>1666</v>
      </c>
      <c r="W33" s="2" t="n">
        <v>458</v>
      </c>
      <c r="X33" s="2"/>
      <c r="Y33" s="2" t="n">
        <v>185</v>
      </c>
      <c r="Z33" s="144" t="str">
        <f aca="false">'Industries data'!N33</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3" s="142" t="n">
        <f aca="false">SUM(AC33:AD33)</f>
        <v>18.5479277107748</v>
      </c>
      <c r="AC33" s="143" t="n">
        <f aca="false">AF33/$AL33*1000*1000</f>
        <v>10.6095292756711</v>
      </c>
      <c r="AD33" s="142" t="n">
        <f aca="false">AG33/$AL33*1000*1000</f>
        <v>7.93839843510363</v>
      </c>
      <c r="AE33" s="136"/>
      <c r="AF33" s="2" t="n">
        <v>17401</v>
      </c>
      <c r="AG33" s="2" t="n">
        <v>13020</v>
      </c>
      <c r="AH33" s="144" t="str">
        <f aca="false">'Industries data'!N33</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3" s="145" t="s">
        <v>581</v>
      </c>
      <c r="AK33" s="154" t="n">
        <f aca="false">AQ$30/AQ33*SUM(AF33:AG33)/SUM(AF$30:AG$30)*AK$30</f>
        <v>5057.83158383082</v>
      </c>
      <c r="AL33" s="139" t="n">
        <f aca="false">AK33*PI()*103.22*1000</f>
        <v>1640129316.56661</v>
      </c>
      <c r="AN33" s="145"/>
      <c r="AQ33" s="160" t="n">
        <v>101</v>
      </c>
      <c r="AR33" s="161"/>
    </row>
    <row r="34" s="77" customFormat="true" ht="63" hidden="false" customHeight="false" outlineLevel="0" collapsed="false">
      <c r="B34" s="124" t="s">
        <v>291</v>
      </c>
      <c r="C34" s="77" t="n">
        <v>2013</v>
      </c>
      <c r="D34" s="77" t="s">
        <v>581</v>
      </c>
      <c r="F34" s="134" t="n">
        <f aca="false">SUM(G34:H34)</f>
        <v>0.828091842794379</v>
      </c>
      <c r="G34" s="135" t="n">
        <f aca="false">K34/AL34*1000</f>
        <v>0.335108021116206</v>
      </c>
      <c r="H34" s="134" t="n">
        <f aca="false">L34/AL34*1000</f>
        <v>0.492983821678173</v>
      </c>
      <c r="I34" s="136" t="n">
        <f aca="false">M34/AL34*1000</f>
        <v>0.0653279174739174</v>
      </c>
      <c r="J34" s="2"/>
      <c r="K34" s="136" t="n">
        <v>554000</v>
      </c>
      <c r="L34" s="136" t="n">
        <v>815000</v>
      </c>
      <c r="M34" s="136" t="n">
        <v>108000</v>
      </c>
      <c r="N34" s="144" t="s">
        <v>591</v>
      </c>
      <c r="P34" s="136" t="n">
        <f aca="false">SUM(Q34:T34)</f>
        <v>11.7906003054175</v>
      </c>
      <c r="Q34" s="140" t="n">
        <f aca="false">V34/$AL34*1000000*Parameters!$C$12*Parameters!$C$3</f>
        <v>9.18401639820823</v>
      </c>
      <c r="R34" s="136" t="n">
        <f aca="false">W34/$AL34*1000000*Parameters!$C$12*Parameters!$C$5</f>
        <v>2.19937322162189</v>
      </c>
      <c r="S34" s="136" t="n">
        <f aca="false">X34/$AL34*1000000*Parameters!$C$12*Parameters!$C$4</f>
        <v>0</v>
      </c>
      <c r="T34" s="136" t="n">
        <f aca="false">Y34/$AL34*1000000*Parameters!$C$12*Parameters!$C$6</f>
        <v>0.407210685587419</v>
      </c>
      <c r="U34" s="2"/>
      <c r="V34" s="2" t="n">
        <v>1687</v>
      </c>
      <c r="W34" s="2" t="n">
        <v>404</v>
      </c>
      <c r="X34" s="2"/>
      <c r="Y34" s="2" t="n">
        <v>187</v>
      </c>
      <c r="Z34" s="144" t="str">
        <f aca="false">'Industries data'!N34</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4" s="142" t="n">
        <f aca="false">SUM(AC34:AD34)</f>
        <v>18.7315705593963</v>
      </c>
      <c r="AC34" s="143" t="n">
        <f aca="false">AF34/$AL34*1000*1000</f>
        <v>10.5831226307746</v>
      </c>
      <c r="AD34" s="142" t="n">
        <f aca="false">AG34/$AL34*1000*1000</f>
        <v>8.14844792862168</v>
      </c>
      <c r="AE34" s="136"/>
      <c r="AF34" s="2" t="n">
        <v>17496</v>
      </c>
      <c r="AG34" s="2" t="n">
        <v>13471</v>
      </c>
      <c r="AH34" s="144" t="str">
        <f aca="false">'Industries data'!N34</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4" s="145" t="s">
        <v>581</v>
      </c>
      <c r="AK34" s="154" t="n">
        <f aca="false">AQ$30/AQ34*SUM(AF34:AG34)/SUM(AF$30:AG$30)*AK$30</f>
        <v>5098.13362167433</v>
      </c>
      <c r="AL34" s="139" t="n">
        <f aca="false">AK34*PI()*103.22*1000</f>
        <v>1653198267.69497</v>
      </c>
      <c r="AN34" s="145"/>
      <c r="AQ34" s="160" t="n">
        <v>102</v>
      </c>
      <c r="AR34" s="161"/>
    </row>
    <row r="35" s="77" customFormat="true" ht="63" hidden="false" customHeight="false" outlineLevel="0" collapsed="false">
      <c r="B35" s="124" t="s">
        <v>291</v>
      </c>
      <c r="C35" s="77" t="n">
        <v>2012</v>
      </c>
      <c r="D35" s="77" t="s">
        <v>581</v>
      </c>
      <c r="F35" s="134" t="n">
        <f aca="false">SUM(G35:H35)</f>
        <v>0.945908220279265</v>
      </c>
      <c r="G35" s="135" t="n">
        <f aca="false">K35/AL35*1000</f>
        <v>0.382040685080394</v>
      </c>
      <c r="H35" s="134" t="n">
        <f aca="false">L35/AL35*1000</f>
        <v>0.563867535198871</v>
      </c>
      <c r="I35" s="136" t="n">
        <f aca="false">M35/AL35*1000</f>
        <v>0.0728669399351198</v>
      </c>
      <c r="J35" s="2"/>
      <c r="K35" s="136" t="n">
        <v>561000</v>
      </c>
      <c r="L35" s="136" t="n">
        <v>828000</v>
      </c>
      <c r="M35" s="136" t="n">
        <v>107000</v>
      </c>
      <c r="N35" s="144" t="s">
        <v>591</v>
      </c>
      <c r="P35" s="136" t="n">
        <f aca="false">SUM(Q35:T35)</f>
        <v>12.8941795712107</v>
      </c>
      <c r="Q35" s="140" t="n">
        <f aca="false">V35/$AL35*1000000*Parameters!$C$12*Parameters!$C$3</f>
        <v>11.5041235170465</v>
      </c>
      <c r="R35" s="136" t="n">
        <f aca="false">W35/$AL35*1000000*Parameters!$C$12*Parameters!$C$5</f>
        <v>1.00515517144147</v>
      </c>
      <c r="S35" s="136" t="n">
        <f aca="false">X35/$AL35*1000000*Parameters!$C$12*Parameters!$C$4</f>
        <v>0</v>
      </c>
      <c r="T35" s="136" t="n">
        <f aca="false">Y35/$AL35*1000000*Parameters!$C$12*Parameters!$C$6</f>
        <v>0.384900882722708</v>
      </c>
      <c r="U35" s="2"/>
      <c r="V35" s="2" t="n">
        <v>1877</v>
      </c>
      <c r="W35" s="2" t="n">
        <v>164</v>
      </c>
      <c r="X35" s="2"/>
      <c r="Y35" s="2" t="n">
        <v>157</v>
      </c>
      <c r="Z35" s="144" t="str">
        <f aca="false">'Industries data'!N35</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5" s="142" t="n">
        <f aca="false">SUM(AC35:AD35)</f>
        <v>19.2824991052609</v>
      </c>
      <c r="AC35" s="143" t="n">
        <f aca="false">AF35/$AL35*1000*1000</f>
        <v>10.9913309397461</v>
      </c>
      <c r="AD35" s="142" t="n">
        <f aca="false">AG35/$AL35*1000*1000</f>
        <v>8.2911681655148</v>
      </c>
      <c r="AE35" s="136"/>
      <c r="AF35" s="2" t="n">
        <v>16140</v>
      </c>
      <c r="AG35" s="2" t="n">
        <v>12175</v>
      </c>
      <c r="AH35" s="144" t="str">
        <f aca="false">'Industries data'!N35</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5" s="145" t="s">
        <v>581</v>
      </c>
      <c r="AK35" s="154" t="n">
        <f aca="false">AQ$30/AQ35*SUM(AF35:AG35)/SUM(AF$30:AG$30)*AK$30</f>
        <v>4528.34512215501</v>
      </c>
      <c r="AL35" s="139" t="n">
        <f aca="false">AK35*PI()*103.22*1000</f>
        <v>1468429991.64329</v>
      </c>
      <c r="AN35" s="145"/>
      <c r="AQ35" s="160" t="n">
        <v>105</v>
      </c>
      <c r="AR35" s="161"/>
    </row>
    <row r="36" s="77" customFormat="true" ht="63" hidden="false" customHeight="false" outlineLevel="0" collapsed="false">
      <c r="B36" s="124" t="s">
        <v>291</v>
      </c>
      <c r="C36" s="77" t="n">
        <v>2011</v>
      </c>
      <c r="D36" s="77" t="s">
        <v>581</v>
      </c>
      <c r="F36" s="134" t="n">
        <f aca="false">SUM(G36:H36)</f>
        <v>0.993417418364967</v>
      </c>
      <c r="G36" s="135" t="n">
        <f aca="false">K36/AL36*1000</f>
        <v>0.406722893326664</v>
      </c>
      <c r="H36" s="134" t="n">
        <f aca="false">L36/AL36*1000</f>
        <v>0.586694525038303</v>
      </c>
      <c r="I36" s="136" t="n">
        <f aca="false">M36/AL36*1000</f>
        <v>0.0753671815110112</v>
      </c>
      <c r="J36" s="2"/>
      <c r="K36" s="136" t="n">
        <v>626000</v>
      </c>
      <c r="L36" s="136" t="n">
        <v>903000</v>
      </c>
      <c r="M36" s="136" t="n">
        <v>116000</v>
      </c>
      <c r="N36" s="144" t="s">
        <v>591</v>
      </c>
      <c r="P36" s="136" t="n">
        <f aca="false">SUM(Q36:T36)</f>
        <v>12.74394067643</v>
      </c>
      <c r="Q36" s="140" t="n">
        <f aca="false">V36/$AL36*1000000*Parameters!$C$12*Parameters!$C$3</f>
        <v>11.1627891856956</v>
      </c>
      <c r="R36" s="136" t="n">
        <f aca="false">W36/$AL36*1000000*Parameters!$C$12*Parameters!$C$5</f>
        <v>1.16949074758466</v>
      </c>
      <c r="S36" s="136" t="n">
        <f aca="false">X36/$AL36*1000000*Parameters!$C$12*Parameters!$C$4</f>
        <v>0</v>
      </c>
      <c r="T36" s="136" t="n">
        <f aca="false">Y36/$AL36*1000000*Parameters!$C$12*Parameters!$C$6</f>
        <v>0.411660743149799</v>
      </c>
      <c r="U36" s="2"/>
      <c r="V36" s="2" t="n">
        <v>1909</v>
      </c>
      <c r="W36" s="2" t="n">
        <v>200</v>
      </c>
      <c r="X36" s="2"/>
      <c r="Y36" s="2" t="n">
        <v>176</v>
      </c>
      <c r="Z36" s="144" t="str">
        <f aca="false">'Industries data'!N36</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6" s="142" t="n">
        <f aca="false">SUM(AC36:AD36)</f>
        <v>18.9152134080178</v>
      </c>
      <c r="AC36" s="143" t="n">
        <f aca="false">AF36/$AL36*1000*1000</f>
        <v>11.2543992942564</v>
      </c>
      <c r="AD36" s="142" t="n">
        <f aca="false">AG36/$AL36*1000*1000</f>
        <v>7.6608141137615</v>
      </c>
      <c r="AE36" s="136"/>
      <c r="AF36" s="2" t="n">
        <v>17322</v>
      </c>
      <c r="AG36" s="2" t="n">
        <v>11791</v>
      </c>
      <c r="AH36" s="144" t="str">
        <f aca="false">'Industries data'!N36</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6" s="145" t="s">
        <v>581</v>
      </c>
      <c r="AK36" s="154" t="n">
        <f aca="false">AQ$30/AQ36*SUM(AF36:AG36)/SUM(AF$30:AG$30)*AK$30</f>
        <v>4746.37433993659</v>
      </c>
      <c r="AL36" s="139" t="n">
        <f aca="false">AK36*PI()*103.22*1000</f>
        <v>1539131458.47244</v>
      </c>
      <c r="AN36" s="164"/>
      <c r="AO36" s="165"/>
      <c r="AP36" s="165"/>
      <c r="AQ36" s="166" t="n">
        <v>103</v>
      </c>
      <c r="AR36" s="167"/>
    </row>
    <row r="37" s="147" customFormat="true" ht="33.75" hidden="false" customHeight="false" outlineLevel="0" collapsed="false">
      <c r="B37" s="148"/>
      <c r="F37" s="149"/>
      <c r="G37" s="150" t="s">
        <v>560</v>
      </c>
      <c r="H37" s="149" t="s">
        <v>561</v>
      </c>
      <c r="I37" s="151" t="s">
        <v>562</v>
      </c>
      <c r="J37" s="74"/>
      <c r="K37" s="151" t="s">
        <v>563</v>
      </c>
      <c r="L37" s="151" t="s">
        <v>564</v>
      </c>
      <c r="M37" s="151" t="s">
        <v>565</v>
      </c>
      <c r="N37" s="152" t="s">
        <v>486</v>
      </c>
      <c r="P37" s="151"/>
      <c r="Q37" s="153" t="s">
        <v>567</v>
      </c>
      <c r="R37" s="151" t="s">
        <v>568</v>
      </c>
      <c r="S37" s="151" t="s">
        <v>569</v>
      </c>
      <c r="T37" s="151" t="s">
        <v>570</v>
      </c>
      <c r="U37" s="74"/>
      <c r="V37" s="151" t="s">
        <v>571</v>
      </c>
      <c r="W37" s="151" t="s">
        <v>572</v>
      </c>
      <c r="X37" s="151" t="s">
        <v>573</v>
      </c>
      <c r="Y37" s="151" t="s">
        <v>574</v>
      </c>
      <c r="Z37" s="152" t="s">
        <v>486</v>
      </c>
      <c r="AB37" s="151"/>
      <c r="AC37" s="153" t="s">
        <v>575</v>
      </c>
      <c r="AD37" s="151" t="s">
        <v>576</v>
      </c>
      <c r="AE37" s="151"/>
      <c r="AF37" s="151" t="s">
        <v>577</v>
      </c>
      <c r="AG37" s="151" t="s">
        <v>578</v>
      </c>
      <c r="AH37" s="152" t="s">
        <v>486</v>
      </c>
      <c r="AJ37" s="153"/>
      <c r="AK37" s="151"/>
      <c r="AL37" s="152"/>
    </row>
    <row r="38" s="77" customFormat="true" ht="31.5" hidden="false" customHeight="false" outlineLevel="0" collapsed="false">
      <c r="B38" s="124" t="s">
        <v>303</v>
      </c>
      <c r="C38" s="77" t="n">
        <v>2020</v>
      </c>
      <c r="D38" s="77" t="s">
        <v>581</v>
      </c>
      <c r="F38" s="134" t="n">
        <f aca="false">SUM(G38:H38)</f>
        <v>1.18934597804023</v>
      </c>
      <c r="G38" s="135" t="n">
        <f aca="false">K38/$AL38*1000</f>
        <v>0.307273931352496</v>
      </c>
      <c r="H38" s="134" t="n">
        <f aca="false">L38/$AL38*1000</f>
        <v>0.882072046687736</v>
      </c>
      <c r="I38" s="134" t="n">
        <f aca="false">M38/$AL38*1000</f>
        <v>0</v>
      </c>
      <c r="J38" s="134"/>
      <c r="K38" s="134" t="n">
        <v>550105</v>
      </c>
      <c r="L38" s="134" t="n">
        <v>1579152</v>
      </c>
      <c r="M38" s="137"/>
      <c r="N38" s="144" t="s">
        <v>593</v>
      </c>
      <c r="P38" s="142" t="n">
        <f aca="false">SUM(Q38:T38)</f>
        <v>9.90249808637137</v>
      </c>
      <c r="Q38" s="140" t="n">
        <f aca="false">V38/$AL38*1000000*Parameters!$C$12*Parameters!$C$3</f>
        <v>8.16913361272895</v>
      </c>
      <c r="R38" s="136" t="n">
        <f aca="false">W38/$AL38*1000000*Parameters!$C$12*Parameters!$C$5</f>
        <v>0</v>
      </c>
      <c r="S38" s="136" t="n">
        <f aca="false">X38/$AL38*1000000*Parameters!$C$12*Parameters!$C$4</f>
        <v>1.45787615242547</v>
      </c>
      <c r="T38" s="136" t="n">
        <f aca="false">Y38/$AL38*1000000*Parameters!$C$12*Parameters!$C$6</f>
        <v>0.275488321216952</v>
      </c>
      <c r="U38" s="2"/>
      <c r="V38" s="2" t="n">
        <v>1625</v>
      </c>
      <c r="X38" s="2" t="n">
        <v>290</v>
      </c>
      <c r="Y38" s="137" t="n">
        <v>137</v>
      </c>
      <c r="Z38" s="144" t="s">
        <v>593</v>
      </c>
      <c r="AB38" s="142" t="n">
        <f aca="false">SUM(AC38:AD38)</f>
        <v>21.0001194737886</v>
      </c>
      <c r="AC38" s="143" t="n">
        <f aca="false">AF38/$AL38*1000*1000</f>
        <v>8.48975465161486</v>
      </c>
      <c r="AD38" s="142" t="n">
        <f aca="false">AG38/$AL38*1000*1000</f>
        <v>12.5103648221737</v>
      </c>
      <c r="AE38" s="2"/>
      <c r="AF38" s="2" t="n">
        <v>15199</v>
      </c>
      <c r="AG38" s="2" t="n">
        <v>22397</v>
      </c>
      <c r="AH38" s="144" t="s">
        <v>593</v>
      </c>
      <c r="AJ38" s="145" t="s">
        <v>594</v>
      </c>
      <c r="AK38" s="2" t="n">
        <v>5698624</v>
      </c>
      <c r="AL38" s="144" t="n">
        <v>1790275529</v>
      </c>
    </row>
    <row r="39" s="77" customFormat="true" ht="31.5" hidden="false" customHeight="false" outlineLevel="0" collapsed="false">
      <c r="B39" s="124" t="s">
        <v>303</v>
      </c>
      <c r="C39" s="77" t="n">
        <v>2019</v>
      </c>
      <c r="D39" s="77" t="s">
        <v>581</v>
      </c>
      <c r="F39" s="134" t="n">
        <f aca="false">SUM(G39:H39)</f>
        <v>1.09047617765695</v>
      </c>
      <c r="G39" s="135" t="n">
        <f aca="false">K39/$AL39*1000</f>
        <v>0.272946133907798</v>
      </c>
      <c r="H39" s="134" t="n">
        <f aca="false">L39/$AL39*1000</f>
        <v>0.817530043749155</v>
      </c>
      <c r="I39" s="134" t="n">
        <f aca="false">M39/$AL39*1000</f>
        <v>0</v>
      </c>
      <c r="J39" s="134"/>
      <c r="K39" s="134" t="n">
        <v>431212</v>
      </c>
      <c r="L39" s="134" t="n">
        <v>1291569</v>
      </c>
      <c r="M39" s="137"/>
      <c r="N39" s="144" t="s">
        <v>593</v>
      </c>
      <c r="P39" s="142" t="n">
        <f aca="false">SUM(Q39:T39)</f>
        <v>9.57285082689715</v>
      </c>
      <c r="Q39" s="140" t="n">
        <f aca="false">V39/$AL39*1000000*Parameters!$C$12*Parameters!$C$3</f>
        <v>7.99256707339723</v>
      </c>
      <c r="R39" s="136" t="n">
        <f aca="false">W39/$AL39*1000000*Parameters!$C$12*Parameters!$C$5</f>
        <v>0</v>
      </c>
      <c r="S39" s="136" t="n">
        <f aca="false">X39/$AL39*1000000*Parameters!$C$12*Parameters!$C$4</f>
        <v>1.35013428110844</v>
      </c>
      <c r="T39" s="136" t="n">
        <f aca="false">Y39/$AL39*1000000*Parameters!$C$12*Parameters!$C$6</f>
        <v>0.230149472391481</v>
      </c>
      <c r="U39" s="2"/>
      <c r="V39" s="2" t="n">
        <v>1403</v>
      </c>
      <c r="X39" s="2" t="n">
        <v>237</v>
      </c>
      <c r="Y39" s="137" t="n">
        <v>101</v>
      </c>
      <c r="Z39" s="144" t="s">
        <v>593</v>
      </c>
      <c r="AB39" s="142" t="n">
        <f aca="false">SUM(AC39:AD39)</f>
        <v>16.7826818233986</v>
      </c>
      <c r="AC39" s="143" t="n">
        <f aca="false">AF39/$AL39*1000*1000</f>
        <v>6.94942535034673</v>
      </c>
      <c r="AD39" s="142" t="n">
        <f aca="false">AG39/$AL39*1000*1000</f>
        <v>9.83325647305186</v>
      </c>
      <c r="AE39" s="2"/>
      <c r="AF39" s="2" t="n">
        <v>10979</v>
      </c>
      <c r="AG39" s="2" t="n">
        <v>15535</v>
      </c>
      <c r="AH39" s="144" t="s">
        <v>593</v>
      </c>
      <c r="AJ39" s="145" t="s">
        <v>594</v>
      </c>
      <c r="AK39" s="2" t="n">
        <v>5028796</v>
      </c>
      <c r="AL39" s="144" t="n">
        <v>1579842857</v>
      </c>
    </row>
    <row r="40" s="77" customFormat="true" ht="31.5" hidden="false" customHeight="false" outlineLevel="0" collapsed="false">
      <c r="B40" s="124" t="s">
        <v>303</v>
      </c>
      <c r="C40" s="77" t="n">
        <v>2018</v>
      </c>
      <c r="D40" s="77" t="s">
        <v>581</v>
      </c>
      <c r="F40" s="134" t="n">
        <f aca="false">SUM(G40:H40)</f>
        <v>1.17617985701481</v>
      </c>
      <c r="G40" s="135" t="n">
        <f aca="false">K40/$AL40*1000</f>
        <v>0.277981120753501</v>
      </c>
      <c r="H40" s="134" t="n">
        <f aca="false">L40/$AL40*1000</f>
        <v>0.898198736261307</v>
      </c>
      <c r="I40" s="134" t="n">
        <f aca="false">M40/$AL40*1000</f>
        <v>0</v>
      </c>
      <c r="J40" s="134"/>
      <c r="K40" s="134" t="n">
        <v>425706</v>
      </c>
      <c r="L40" s="134" t="n">
        <v>1375520</v>
      </c>
      <c r="M40" s="137"/>
      <c r="N40" s="144" t="s">
        <v>593</v>
      </c>
      <c r="P40" s="142" t="n">
        <f aca="false">SUM(Q40:T40)</f>
        <v>10.7006530845508</v>
      </c>
      <c r="Q40" s="140" t="n">
        <f aca="false">V40/$AL40*1000000*Parameters!$C$12*Parameters!$C$3</f>
        <v>8.80359090545753</v>
      </c>
      <c r="R40" s="136" t="n">
        <f aca="false">W40/$AL40*1000000*Parameters!$C$12*Parameters!$C$5</f>
        <v>0</v>
      </c>
      <c r="S40" s="136" t="n">
        <f aca="false">X40/$AL40*1000000*Parameters!$C$12*Parameters!$C$4</f>
        <v>1.62202342450352</v>
      </c>
      <c r="T40" s="136" t="n">
        <f aca="false">Y40/$AL40*1000000*Parameters!$C$12*Parameters!$C$6</f>
        <v>0.275038754589728</v>
      </c>
      <c r="U40" s="2"/>
      <c r="V40" s="2" t="n">
        <v>1498</v>
      </c>
      <c r="X40" s="2" t="n">
        <v>276</v>
      </c>
      <c r="Y40" s="137" t="n">
        <v>117</v>
      </c>
      <c r="Z40" s="144" t="s">
        <v>593</v>
      </c>
      <c r="AB40" s="142" t="n">
        <f aca="false">SUM(AC40:AD40)</f>
        <v>17.0044734289437</v>
      </c>
      <c r="AC40" s="143" t="n">
        <f aca="false">AF40/$AL40*1000*1000</f>
        <v>7.06076460916127</v>
      </c>
      <c r="AD40" s="142" t="n">
        <f aca="false">AG40/$AL40*1000*1000</f>
        <v>9.94370881978247</v>
      </c>
      <c r="AE40" s="2"/>
      <c r="AF40" s="2" t="n">
        <v>10813</v>
      </c>
      <c r="AG40" s="2" t="n">
        <v>15228</v>
      </c>
      <c r="AH40" s="144" t="s">
        <v>593</v>
      </c>
      <c r="AJ40" s="145" t="s">
        <v>594</v>
      </c>
      <c r="AK40" s="2" t="n">
        <v>4874663</v>
      </c>
      <c r="AL40" s="144" t="n">
        <v>1531420547</v>
      </c>
    </row>
    <row r="41" s="77" customFormat="true" ht="31.5" hidden="false" customHeight="false" outlineLevel="0" collapsed="false">
      <c r="B41" s="124" t="s">
        <v>303</v>
      </c>
      <c r="C41" s="77" t="n">
        <v>2017</v>
      </c>
      <c r="D41" s="77" t="s">
        <v>581</v>
      </c>
      <c r="F41" s="134" t="n">
        <f aca="false">SUM(G41:H41)</f>
        <v>1.3262255357303</v>
      </c>
      <c r="G41" s="135" t="n">
        <f aca="false">K41/$AL41*1000</f>
        <v>0.341195332429008</v>
      </c>
      <c r="H41" s="134" t="n">
        <f aca="false">L41/$AL41*1000</f>
        <v>0.985030203301294</v>
      </c>
      <c r="I41" s="134" t="n">
        <f aca="false">M41/$AL41*1000</f>
        <v>0</v>
      </c>
      <c r="J41" s="134"/>
      <c r="K41" s="134" t="n">
        <v>462071</v>
      </c>
      <c r="L41" s="134" t="n">
        <v>1333998</v>
      </c>
      <c r="M41" s="137"/>
      <c r="N41" s="144" t="s">
        <v>593</v>
      </c>
      <c r="P41" s="142" t="n">
        <f aca="false">SUM(Q41:T41)</f>
        <v>11.5381619393323</v>
      </c>
      <c r="Q41" s="140" t="n">
        <f aca="false">V41/$AL41*1000000*Parameters!$C$12*Parameters!$C$3</f>
        <v>9.47003845383508</v>
      </c>
      <c r="R41" s="136" t="n">
        <f aca="false">W41/$AL41*1000000*Parameters!$C$12*Parameters!$C$5</f>
        <v>0</v>
      </c>
      <c r="S41" s="136" t="n">
        <f aca="false">X41/$AL41*1000000*Parameters!$C$12*Parameters!$C$4</f>
        <v>1.76774051138255</v>
      </c>
      <c r="T41" s="136" t="n">
        <f aca="false">Y41/$AL41*1000000*Parameters!$C$12*Parameters!$C$6</f>
        <v>0.300382974114629</v>
      </c>
      <c r="U41" s="2"/>
      <c r="V41" s="2" t="n">
        <v>1425</v>
      </c>
      <c r="X41" s="2" t="n">
        <v>266</v>
      </c>
      <c r="Y41" s="137" t="n">
        <v>113</v>
      </c>
      <c r="Z41" s="144" t="s">
        <v>593</v>
      </c>
      <c r="AB41" s="142" t="n">
        <f aca="false">SUM(AC41:AD41)</f>
        <v>17.9934422645656</v>
      </c>
      <c r="AC41" s="143" t="n">
        <f aca="false">AF41/$AL41*1000*1000</f>
        <v>7.91495845510006</v>
      </c>
      <c r="AD41" s="142" t="n">
        <f aca="false">AG41/$AL41*1000*1000</f>
        <v>10.0784838094655</v>
      </c>
      <c r="AE41" s="2"/>
      <c r="AF41" s="2" t="n">
        <v>10719</v>
      </c>
      <c r="AG41" s="2" t="n">
        <v>13649</v>
      </c>
      <c r="AH41" s="144" t="s">
        <v>593</v>
      </c>
      <c r="AJ41" s="145" t="s">
        <v>594</v>
      </c>
      <c r="AK41" s="2" t="n">
        <v>4310779</v>
      </c>
      <c r="AL41" s="144" t="n">
        <v>1354271164</v>
      </c>
    </row>
    <row r="42" s="77" customFormat="true" ht="31.5" hidden="false" customHeight="false" outlineLevel="0" collapsed="false">
      <c r="B42" s="124" t="s">
        <v>303</v>
      </c>
      <c r="C42" s="77" t="n">
        <v>2016</v>
      </c>
      <c r="D42" s="77" t="s">
        <v>581</v>
      </c>
      <c r="F42" s="134" t="n">
        <f aca="false">SUM(G42:H42)</f>
        <v>1.08774855518356</v>
      </c>
      <c r="G42" s="135" t="n">
        <f aca="false">K42/$AL42*1000</f>
        <v>0.305042031300038</v>
      </c>
      <c r="H42" s="134" t="n">
        <f aca="false">L42/$AL42*1000</f>
        <v>0.782706523883524</v>
      </c>
      <c r="I42" s="134" t="n">
        <f aca="false">M42/$AL42*1000</f>
        <v>0</v>
      </c>
      <c r="J42" s="134"/>
      <c r="K42" s="134" t="n">
        <v>379272</v>
      </c>
      <c r="L42" s="134" t="n">
        <v>973173</v>
      </c>
      <c r="M42" s="137"/>
      <c r="N42" s="144" t="s">
        <v>593</v>
      </c>
      <c r="P42" s="142" t="n">
        <f aca="false">SUM(Q42:T42)</f>
        <v>10.6710663135761</v>
      </c>
      <c r="Q42" s="140" t="n">
        <f aca="false">V42/$AL42*1000000*Parameters!$C$12*Parameters!$C$3</f>
        <v>8.33156785166607</v>
      </c>
      <c r="R42" s="136" t="n">
        <f aca="false">W42/$AL42*1000000*Parameters!$C$12*Parameters!$C$5</f>
        <v>0</v>
      </c>
      <c r="S42" s="136" t="n">
        <f aca="false">X42/$AL42*1000000*Parameters!$C$12*Parameters!$C$4</f>
        <v>2.04127031639429</v>
      </c>
      <c r="T42" s="136" t="n">
        <f aca="false">Y42/$AL42*1000000*Parameters!$C$12*Parameters!$C$6</f>
        <v>0.298228145515762</v>
      </c>
      <c r="U42" s="2"/>
      <c r="V42" s="2" t="n">
        <v>1151</v>
      </c>
      <c r="X42" s="2" t="n">
        <v>282</v>
      </c>
      <c r="Y42" s="137" t="n">
        <v>103</v>
      </c>
      <c r="Z42" s="144" t="s">
        <v>593</v>
      </c>
      <c r="AB42" s="142" t="n">
        <f aca="false">SUM(AC42:AD42)</f>
        <v>18.0473067886413</v>
      </c>
      <c r="AC42" s="143" t="n">
        <f aca="false">AF42/$AL42*1000*1000</f>
        <v>8.53907287200875</v>
      </c>
      <c r="AD42" s="142" t="n">
        <f aca="false">AG42/$AL42*1000*1000</f>
        <v>9.50823391663252</v>
      </c>
      <c r="AE42" s="2"/>
      <c r="AF42" s="2" t="n">
        <v>10617</v>
      </c>
      <c r="AG42" s="2" t="n">
        <v>11822</v>
      </c>
      <c r="AH42" s="144" t="s">
        <v>593</v>
      </c>
      <c r="AJ42" s="145" t="s">
        <v>594</v>
      </c>
      <c r="AK42" s="2" t="n">
        <v>3957685</v>
      </c>
      <c r="AL42" s="144" t="n">
        <v>1243343412</v>
      </c>
    </row>
    <row r="43" s="77" customFormat="true" ht="31.5" hidden="false" customHeight="false" outlineLevel="0" collapsed="false">
      <c r="B43" s="124" t="s">
        <v>303</v>
      </c>
      <c r="C43" s="77" t="n">
        <v>2015</v>
      </c>
      <c r="D43" s="77" t="s">
        <v>581</v>
      </c>
      <c r="F43" s="134" t="n">
        <f aca="false">SUM(G43:H43)</f>
        <v>1.30260185194533</v>
      </c>
      <c r="G43" s="135" t="n">
        <f aca="false">K43/$AL43*1000</f>
        <v>0.373702763263093</v>
      </c>
      <c r="H43" s="134" t="n">
        <f aca="false">L43/$AL43*1000</f>
        <v>0.928899088682232</v>
      </c>
      <c r="I43" s="134" t="n">
        <f aca="false">M43/$AL43*1000</f>
        <v>0</v>
      </c>
      <c r="J43" s="134"/>
      <c r="K43" s="134" t="n">
        <v>354081</v>
      </c>
      <c r="L43" s="134" t="n">
        <v>880126</v>
      </c>
      <c r="M43" s="137"/>
      <c r="N43" s="144" t="s">
        <v>593</v>
      </c>
      <c r="P43" s="142" t="n">
        <f aca="false">SUM(Q43:T43)</f>
        <v>10.798172484537</v>
      </c>
      <c r="Q43" s="140" t="n">
        <f aca="false">V43/$AL43*1000000*Parameters!$C$12*Parameters!$C$3</f>
        <v>8.19741630379616</v>
      </c>
      <c r="R43" s="136" t="n">
        <f aca="false">W43/$AL43*1000000*Parameters!$C$12*Parameters!$C$5</f>
        <v>0</v>
      </c>
      <c r="S43" s="136" t="n">
        <f aca="false">X43/$AL43*1000000*Parameters!$C$12*Parameters!$C$4</f>
        <v>2.27019988019384</v>
      </c>
      <c r="T43" s="136" t="n">
        <f aca="false">Y43/$AL43*1000000*Parameters!$C$12*Parameters!$C$6</f>
        <v>0.330556300547052</v>
      </c>
      <c r="U43" s="2"/>
      <c r="V43" s="2" t="n">
        <v>863</v>
      </c>
      <c r="X43" s="2" t="n">
        <v>239</v>
      </c>
      <c r="Y43" s="137" t="n">
        <v>87</v>
      </c>
      <c r="Z43" s="144" t="s">
        <v>593</v>
      </c>
      <c r="AB43" s="142"/>
      <c r="AC43" s="143"/>
      <c r="AD43" s="142"/>
      <c r="AE43" s="2"/>
      <c r="AF43" s="2"/>
      <c r="AG43" s="2"/>
      <c r="AH43" s="144"/>
      <c r="AJ43" s="145" t="s">
        <v>594</v>
      </c>
      <c r="AK43" s="2" t="n">
        <v>3015966</v>
      </c>
      <c r="AL43" s="144" t="n">
        <v>947493662.9</v>
      </c>
    </row>
    <row r="44" s="77" customFormat="true" ht="31.5" hidden="false" customHeight="false" outlineLevel="0" collapsed="false">
      <c r="B44" s="124" t="s">
        <v>303</v>
      </c>
      <c r="C44" s="77" t="n">
        <v>2014</v>
      </c>
      <c r="D44" s="77" t="s">
        <v>581</v>
      </c>
      <c r="F44" s="134" t="n">
        <f aca="false">SUM(G44:H44)</f>
        <v>1.45774707865079</v>
      </c>
      <c r="G44" s="135" t="n">
        <f aca="false">K44/$AL44*1000</f>
        <v>0.408036944948014</v>
      </c>
      <c r="H44" s="134" t="n">
        <f aca="false">L44/$AL44*1000</f>
        <v>1.04971013370278</v>
      </c>
      <c r="I44" s="134" t="n">
        <f aca="false">M44/$AL44*1000</f>
        <v>0</v>
      </c>
      <c r="J44" s="134"/>
      <c r="K44" s="134" t="n">
        <v>328066</v>
      </c>
      <c r="L44" s="134" t="n">
        <v>843978</v>
      </c>
      <c r="M44" s="137"/>
      <c r="N44" s="144" t="s">
        <v>593</v>
      </c>
      <c r="P44" s="142" t="n">
        <f aca="false">SUM(Q44:T44)</f>
        <v>11.9326795517708</v>
      </c>
      <c r="Q44" s="140" t="n">
        <f aca="false">V44/$AL44*1000000*Parameters!$C$12*Parameters!$C$3</f>
        <v>8.97749437197016</v>
      </c>
      <c r="R44" s="136" t="n">
        <f aca="false">W44/$AL44*1000000*Parameters!$C$12*Parameters!$C$5</f>
        <v>0</v>
      </c>
      <c r="S44" s="136" t="n">
        <f aca="false">X44/$AL44*1000000*Parameters!$C$12*Parameters!$C$4</f>
        <v>2.57459314906875</v>
      </c>
      <c r="T44" s="136" t="n">
        <f aca="false">Y44/$AL44*1000000*Parameters!$C$12*Parameters!$C$6</f>
        <v>0.380592030731902</v>
      </c>
      <c r="U44" s="2"/>
      <c r="V44" s="2" t="n">
        <v>802</v>
      </c>
      <c r="X44" s="2" t="n">
        <v>230</v>
      </c>
      <c r="Y44" s="137" t="n">
        <v>85</v>
      </c>
      <c r="Z44" s="144" t="s">
        <v>593</v>
      </c>
      <c r="AB44" s="142"/>
      <c r="AC44" s="143"/>
      <c r="AD44" s="142"/>
      <c r="AE44" s="2"/>
      <c r="AF44" s="2"/>
      <c r="AG44" s="2"/>
      <c r="AH44" s="144"/>
      <c r="AJ44" s="145" t="s">
        <v>594</v>
      </c>
      <c r="AK44" s="2" t="n">
        <v>2559245</v>
      </c>
      <c r="AL44" s="144" t="n">
        <v>804010529.1</v>
      </c>
    </row>
    <row r="45" s="77" customFormat="true" ht="31.5" hidden="false" customHeight="false" outlineLevel="0" collapsed="false">
      <c r="B45" s="124" t="s">
        <v>303</v>
      </c>
      <c r="C45" s="77" t="n">
        <v>2013</v>
      </c>
      <c r="D45" s="77" t="s">
        <v>581</v>
      </c>
      <c r="F45" s="134" t="n">
        <f aca="false">SUM(G45:H45)</f>
        <v>1.38749242481607</v>
      </c>
      <c r="G45" s="135" t="n">
        <f aca="false">K45/$AL45*1000</f>
        <v>0.396952659345889</v>
      </c>
      <c r="H45" s="134" t="n">
        <f aca="false">L45/$AL45*1000</f>
        <v>0.990539765470176</v>
      </c>
      <c r="I45" s="134" t="n">
        <f aca="false">M45/$AL45*1000</f>
        <v>0</v>
      </c>
      <c r="J45" s="134"/>
      <c r="K45" s="134" t="n">
        <v>321009</v>
      </c>
      <c r="L45" s="134" t="n">
        <v>801033</v>
      </c>
      <c r="M45" s="137"/>
      <c r="N45" s="144" t="s">
        <v>593</v>
      </c>
      <c r="P45" s="142" t="n">
        <f aca="false">SUM(Q45:T45)</f>
        <v>11.8258898111532</v>
      </c>
      <c r="Q45" s="140" t="n">
        <f aca="false">V45/$AL45*1000000*Parameters!$C$12*Parameters!$C$3</f>
        <v>8.73642339709699</v>
      </c>
      <c r="R45" s="136" t="n">
        <f aca="false">W45/$AL45*1000000*Parameters!$C$12*Parameters!$C$5</f>
        <v>0</v>
      </c>
      <c r="S45" s="136" t="n">
        <f aca="false">X45/$AL45*1000000*Parameters!$C$12*Parameters!$C$4</f>
        <v>2.67100842713793</v>
      </c>
      <c r="T45" s="136" t="n">
        <f aca="false">Y45/$AL45*1000000*Parameters!$C$12*Parameters!$C$6</f>
        <v>0.418457986918276</v>
      </c>
      <c r="U45" s="2"/>
      <c r="V45" s="2" t="n">
        <v>785</v>
      </c>
      <c r="X45" s="2" t="n">
        <v>240</v>
      </c>
      <c r="Y45" s="137" t="n">
        <v>94</v>
      </c>
      <c r="Z45" s="144" t="s">
        <v>593</v>
      </c>
      <c r="AB45" s="142"/>
      <c r="AC45" s="143"/>
      <c r="AD45" s="142"/>
      <c r="AE45" s="2"/>
      <c r="AF45" s="2"/>
      <c r="AG45" s="2"/>
      <c r="AH45" s="144"/>
      <c r="AJ45" s="145" t="s">
        <v>594</v>
      </c>
      <c r="AK45" s="2" t="n">
        <v>2574119</v>
      </c>
      <c r="AL45" s="144" t="n">
        <v>808683334</v>
      </c>
    </row>
    <row r="46" s="77" customFormat="true" ht="31.5" hidden="false" customHeight="false" outlineLevel="0" collapsed="false">
      <c r="B46" s="124" t="s">
        <v>303</v>
      </c>
      <c r="C46" s="77" t="n">
        <v>2012</v>
      </c>
      <c r="D46" s="77" t="s">
        <v>581</v>
      </c>
      <c r="F46" s="134" t="n">
        <f aca="false">SUM(G46:H46)</f>
        <v>1.48999272166748</v>
      </c>
      <c r="G46" s="135" t="n">
        <f aca="false">K46/$AL46*1000</f>
        <v>0.386644053463655</v>
      </c>
      <c r="H46" s="134" t="n">
        <f aca="false">L46/$AL46*1000</f>
        <v>1.10334866820383</v>
      </c>
      <c r="I46" s="134" t="n">
        <f aca="false">M46/$AL46*1000</f>
        <v>0</v>
      </c>
      <c r="J46" s="134"/>
      <c r="K46" s="134" t="n">
        <v>269329</v>
      </c>
      <c r="L46" s="134" t="n">
        <v>768572</v>
      </c>
      <c r="M46" s="137"/>
      <c r="N46" s="144" t="s">
        <v>593</v>
      </c>
      <c r="P46" s="142" t="n">
        <f aca="false">SUM(Q46:T46)</f>
        <v>13.0339424651902</v>
      </c>
      <c r="Q46" s="140" t="n">
        <f aca="false">V46/$AL46*1000000*Parameters!$C$12*Parameters!$C$3</f>
        <v>9.3413366399014</v>
      </c>
      <c r="R46" s="136" t="n">
        <f aca="false">W46/$AL46*1000000*Parameters!$C$12*Parameters!$C$5</f>
        <v>0</v>
      </c>
      <c r="S46" s="136" t="n">
        <f aca="false">X46/$AL46*1000000*Parameters!$C$12*Parameters!$C$4</f>
        <v>3.2429813231193</v>
      </c>
      <c r="T46" s="136" t="n">
        <f aca="false">Y46/$AL46*1000000*Parameters!$C$12*Parameters!$C$6</f>
        <v>0.449624502169528</v>
      </c>
      <c r="U46" s="2"/>
      <c r="V46" s="2" t="n">
        <v>723</v>
      </c>
      <c r="X46" s="2" t="n">
        <v>251</v>
      </c>
      <c r="Y46" s="137" t="n">
        <v>87</v>
      </c>
      <c r="Z46" s="144" t="s">
        <v>593</v>
      </c>
      <c r="AB46" s="142"/>
      <c r="AC46" s="143"/>
      <c r="AD46" s="142"/>
      <c r="AE46" s="2"/>
      <c r="AF46" s="2"/>
      <c r="AG46" s="2"/>
      <c r="AH46" s="144"/>
      <c r="AJ46" s="145" t="s">
        <v>594</v>
      </c>
      <c r="AK46" s="2" t="n">
        <v>2217287</v>
      </c>
      <c r="AL46" s="144" t="n">
        <v>696581255</v>
      </c>
    </row>
    <row r="47" s="77" customFormat="true" ht="31.5" hidden="false" customHeight="false" outlineLevel="0" collapsed="false">
      <c r="B47" s="124" t="s">
        <v>303</v>
      </c>
      <c r="C47" s="77" t="n">
        <v>2011</v>
      </c>
      <c r="D47" s="77" t="s">
        <v>581</v>
      </c>
      <c r="F47" s="134" t="n">
        <f aca="false">SUM(G47:H47)</f>
        <v>1.77373905068743</v>
      </c>
      <c r="G47" s="135" t="n">
        <f aca="false">K47/$AL47*1000</f>
        <v>0.369736054217229</v>
      </c>
      <c r="H47" s="134" t="n">
        <f aca="false">L47/$AL47*1000</f>
        <v>1.4040029964702</v>
      </c>
      <c r="I47" s="134" t="n">
        <f aca="false">M47/$AL47*1000</f>
        <v>0</v>
      </c>
      <c r="J47" s="134"/>
      <c r="K47" s="134" t="n">
        <v>197885</v>
      </c>
      <c r="L47" s="134" t="n">
        <v>751431</v>
      </c>
      <c r="M47" s="137"/>
      <c r="N47" s="144" t="s">
        <v>593</v>
      </c>
      <c r="P47" s="142" t="n">
        <f aca="false">SUM(Q47:T47)</f>
        <v>17.3002505152395</v>
      </c>
      <c r="Q47" s="140" t="n">
        <f aca="false">V47/$AL47*1000000*Parameters!$C$12*Parameters!$C$3</f>
        <v>11.6534541281697</v>
      </c>
      <c r="R47" s="136" t="n">
        <f aca="false">W47/$AL47*1000000*Parameters!$C$12*Parameters!$C$5</f>
        <v>0</v>
      </c>
      <c r="S47" s="136" t="n">
        <f aca="false">X47/$AL47*1000000*Parameters!$C$12*Parameters!$C$4</f>
        <v>5.02796938574709</v>
      </c>
      <c r="T47" s="136" t="n">
        <f aca="false">Y47/$AL47*1000000*Parameters!$C$12*Parameters!$C$6</f>
        <v>0.618827001322719</v>
      </c>
      <c r="U47" s="2"/>
      <c r="V47" s="2" t="n">
        <v>693</v>
      </c>
      <c r="X47" s="2" t="n">
        <v>299</v>
      </c>
      <c r="Y47" s="137" t="n">
        <v>92</v>
      </c>
      <c r="Z47" s="144" t="s">
        <v>593</v>
      </c>
      <c r="AB47" s="142"/>
      <c r="AC47" s="143"/>
      <c r="AD47" s="142"/>
      <c r="AE47" s="2"/>
      <c r="AF47" s="2"/>
      <c r="AG47" s="2"/>
      <c r="AH47" s="144"/>
      <c r="AJ47" s="145" t="s">
        <v>594</v>
      </c>
      <c r="AK47" s="2" t="n">
        <v>1703614</v>
      </c>
      <c r="AL47" s="144" t="n">
        <v>535206122.7</v>
      </c>
    </row>
    <row r="48" s="147" customFormat="true" ht="33.75" hidden="false" customHeight="false" outlineLevel="0" collapsed="false">
      <c r="B48" s="148"/>
      <c r="F48" s="149"/>
      <c r="G48" s="150" t="s">
        <v>560</v>
      </c>
      <c r="H48" s="149" t="s">
        <v>561</v>
      </c>
      <c r="I48" s="151" t="s">
        <v>562</v>
      </c>
      <c r="J48" s="74"/>
      <c r="K48" s="151" t="s">
        <v>563</v>
      </c>
      <c r="L48" s="151" t="s">
        <v>564</v>
      </c>
      <c r="M48" s="151" t="s">
        <v>565</v>
      </c>
      <c r="N48" s="152" t="s">
        <v>486</v>
      </c>
      <c r="P48" s="151"/>
      <c r="Q48" s="153" t="s">
        <v>567</v>
      </c>
      <c r="R48" s="151" t="s">
        <v>568</v>
      </c>
      <c r="S48" s="151" t="s">
        <v>569</v>
      </c>
      <c r="T48" s="151" t="s">
        <v>570</v>
      </c>
      <c r="U48" s="74"/>
      <c r="V48" s="151" t="s">
        <v>571</v>
      </c>
      <c r="W48" s="151" t="s">
        <v>572</v>
      </c>
      <c r="X48" s="151" t="s">
        <v>573</v>
      </c>
      <c r="Y48" s="151" t="s">
        <v>574</v>
      </c>
      <c r="Z48" s="152" t="s">
        <v>486</v>
      </c>
      <c r="AB48" s="151"/>
      <c r="AC48" s="153" t="s">
        <v>575</v>
      </c>
      <c r="AD48" s="151" t="s">
        <v>576</v>
      </c>
      <c r="AE48" s="151"/>
      <c r="AF48" s="151" t="s">
        <v>577</v>
      </c>
      <c r="AG48" s="151" t="s">
        <v>578</v>
      </c>
      <c r="AH48" s="152" t="s">
        <v>486</v>
      </c>
      <c r="AJ48" s="153"/>
      <c r="AK48" s="151"/>
      <c r="AL48" s="152"/>
      <c r="AN48" s="168" t="s">
        <v>595</v>
      </c>
      <c r="AO48" s="169" t="s">
        <v>596</v>
      </c>
      <c r="AP48" s="159" t="s">
        <v>597</v>
      </c>
    </row>
    <row r="49" s="77" customFormat="true" ht="15.75" hidden="false" customHeight="false" outlineLevel="0" collapsed="false">
      <c r="B49" s="124" t="s">
        <v>317</v>
      </c>
      <c r="C49" s="77" t="n">
        <v>2020</v>
      </c>
      <c r="D49" s="77" t="s">
        <v>581</v>
      </c>
      <c r="F49" s="134" t="n">
        <f aca="false">SUM(G49:H49)</f>
        <v>0.44481079951328</v>
      </c>
      <c r="G49" s="143" t="n">
        <f aca="false">K49/$AL49*1000</f>
        <v>0.295125357802874</v>
      </c>
      <c r="H49" s="142" t="n">
        <f aca="false">L49/$AL49*1000</f>
        <v>0.149685441710405</v>
      </c>
      <c r="I49" s="142" t="n">
        <f aca="false">M49/$AL49*1000</f>
        <v>0</v>
      </c>
      <c r="J49" s="2"/>
      <c r="K49" s="2" t="n">
        <v>423482</v>
      </c>
      <c r="L49" s="2" t="n">
        <v>214787</v>
      </c>
      <c r="M49" s="137"/>
      <c r="N49" s="144" t="s">
        <v>598</v>
      </c>
      <c r="P49" s="142" t="n">
        <f aca="false">SUM(Q49:T49)</f>
        <v>18.9355181492056</v>
      </c>
      <c r="Q49" s="140" t="n">
        <f aca="false">V49/$AL49*1000000*Parameters!$C$12*Parameters!$C$3</f>
        <v>18.9355181492056</v>
      </c>
      <c r="R49" s="136" t="n">
        <f aca="false">W49/$AL49*1000000*Parameters!$C$12*Parameters!$C$5</f>
        <v>0</v>
      </c>
      <c r="S49" s="136" t="n">
        <f aca="false">X49/$AL49*1000000*Parameters!$C$12*Parameters!$C$4</f>
        <v>0</v>
      </c>
      <c r="T49" s="136" t="n">
        <f aca="false">Y49/$AL49*1000000*Parameters!$C$12*Parameters!$C$6</f>
        <v>0</v>
      </c>
      <c r="U49" s="2"/>
      <c r="V49" s="2" t="n">
        <v>3019</v>
      </c>
      <c r="W49" s="2"/>
      <c r="X49" s="2"/>
      <c r="Y49" s="137"/>
      <c r="Z49" s="144" t="s">
        <v>598</v>
      </c>
      <c r="AB49" s="142" t="n">
        <f aca="false">SUM(AC49:AD49)</f>
        <v>18.9961486036968</v>
      </c>
      <c r="AC49" s="143" t="n">
        <f aca="false">AF49/$AL49*1000*1000</f>
        <v>18.9961486036968</v>
      </c>
      <c r="AD49" s="142" t="n">
        <f aca="false">AG49/$AL49*1000*1000</f>
        <v>0</v>
      </c>
      <c r="AE49" s="2"/>
      <c r="AF49" s="2" t="n">
        <v>27258</v>
      </c>
      <c r="AG49" s="2"/>
      <c r="AH49" s="144" t="s">
        <v>598</v>
      </c>
      <c r="AJ49" s="145" t="s">
        <v>599</v>
      </c>
      <c r="AK49" s="2" t="n">
        <f aca="false">AL49/103.22/PI()/1000</f>
        <v>4425.01453352564</v>
      </c>
      <c r="AL49" s="170" t="n">
        <v>1434922445</v>
      </c>
      <c r="AN49" s="171" t="n">
        <v>0.053</v>
      </c>
      <c r="AO49" s="77" t="n">
        <f aca="false">V49/AN49*1000</f>
        <v>56962264.1509434</v>
      </c>
      <c r="AP49" s="161" t="n">
        <f aca="false">1/(AO49/AL49)</f>
        <v>25.1907550794965</v>
      </c>
    </row>
    <row r="50" s="77" customFormat="true" ht="15.75" hidden="false" customHeight="false" outlineLevel="0" collapsed="false">
      <c r="B50" s="124" t="s">
        <v>317</v>
      </c>
      <c r="C50" s="77" t="n">
        <v>2019</v>
      </c>
      <c r="D50" s="77" t="s">
        <v>581</v>
      </c>
      <c r="F50" s="134" t="n">
        <f aca="false">SUM(G50:H50)</f>
        <v>0.495370011901611</v>
      </c>
      <c r="G50" s="143" t="n">
        <f aca="false">K50/$AL50*1000</f>
        <v>0.324453174476772</v>
      </c>
      <c r="H50" s="142" t="n">
        <f aca="false">L50/$AL50*1000</f>
        <v>0.170916837424839</v>
      </c>
      <c r="I50" s="142" t="n">
        <f aca="false">M50/$AL50*1000</f>
        <v>0</v>
      </c>
      <c r="J50" s="2"/>
      <c r="K50" s="2" t="n">
        <v>403184</v>
      </c>
      <c r="L50" s="2" t="n">
        <v>212391</v>
      </c>
      <c r="M50" s="137"/>
      <c r="N50" s="144" t="s">
        <v>598</v>
      </c>
      <c r="P50" s="142" t="n">
        <f aca="false">SUM(Q50:T50)</f>
        <v>21.6986671013525</v>
      </c>
      <c r="Q50" s="140" t="n">
        <f aca="false">V50/$AL50*1000000*Parameters!$C$12*Parameters!$C$3</f>
        <v>21.6986671013525</v>
      </c>
      <c r="R50" s="136" t="n">
        <f aca="false">W50/$AL50*1000000*Parameters!$C$12*Parameters!$C$5</f>
        <v>0</v>
      </c>
      <c r="S50" s="136" t="n">
        <f aca="false">X50/$AL50*1000000*Parameters!$C$12*Parameters!$C$4</f>
        <v>0</v>
      </c>
      <c r="T50" s="136" t="n">
        <f aca="false">Y50/$AL50*1000000*Parameters!$C$12*Parameters!$C$6</f>
        <v>0</v>
      </c>
      <c r="U50" s="2"/>
      <c r="V50" s="2" t="n">
        <v>2996</v>
      </c>
      <c r="W50" s="2"/>
      <c r="X50" s="2"/>
      <c r="Y50" s="137"/>
      <c r="Z50" s="144" t="s">
        <v>598</v>
      </c>
      <c r="AB50" s="142" t="n">
        <f aca="false">SUM(AC50:AD50)</f>
        <v>21.9207718380374</v>
      </c>
      <c r="AC50" s="143" t="n">
        <f aca="false">AF50/$AL50*1000*1000</f>
        <v>21.9207718380374</v>
      </c>
      <c r="AD50" s="142" t="n">
        <f aca="false">AG50/$AL50*1000*1000</f>
        <v>0</v>
      </c>
      <c r="AE50" s="2"/>
      <c r="AF50" s="2" t="n">
        <v>27240</v>
      </c>
      <c r="AG50" s="2"/>
      <c r="AH50" s="144" t="s">
        <v>598</v>
      </c>
      <c r="AJ50" s="145" t="s">
        <v>599</v>
      </c>
      <c r="AK50" s="2" t="n">
        <f aca="false">AL50/103.22/PI()/1000</f>
        <v>3832.10618057967</v>
      </c>
      <c r="AL50" s="170" t="n">
        <v>1242656974</v>
      </c>
      <c r="AN50" s="171" t="n">
        <v>0.058</v>
      </c>
      <c r="AO50" s="77" t="n">
        <f aca="false">V50/AN50*1000</f>
        <v>51655172.4137931</v>
      </c>
      <c r="AP50" s="161" t="n">
        <f aca="false">1/(AO50/AL50)</f>
        <v>24.056777200267</v>
      </c>
    </row>
    <row r="51" s="77" customFormat="true" ht="15.75" hidden="false" customHeight="false" outlineLevel="0" collapsed="false">
      <c r="B51" s="124" t="s">
        <v>317</v>
      </c>
      <c r="C51" s="77" t="n">
        <v>2018</v>
      </c>
      <c r="D51" s="77" t="s">
        <v>581</v>
      </c>
      <c r="F51" s="134" t="n">
        <f aca="false">SUM(G51:H51)</f>
        <v>0.482168760864496</v>
      </c>
      <c r="G51" s="143" t="n">
        <f aca="false">K51/$AL51*1000</f>
        <v>0.308858738367568</v>
      </c>
      <c r="H51" s="142" t="n">
        <f aca="false">L51/$AL51*1000</f>
        <v>0.173310022496929</v>
      </c>
      <c r="I51" s="142" t="n">
        <f aca="false">M51/$AL51*1000</f>
        <v>0</v>
      </c>
      <c r="J51" s="2"/>
      <c r="K51" s="2" t="n">
        <v>406729</v>
      </c>
      <c r="L51" s="2" t="n">
        <v>228228</v>
      </c>
      <c r="M51" s="137"/>
      <c r="N51" s="144" t="s">
        <v>598</v>
      </c>
      <c r="P51" s="142" t="n">
        <f aca="false">SUM(Q51:T51)</f>
        <v>20.6124018554105</v>
      </c>
      <c r="Q51" s="140" t="n">
        <f aca="false">V51/$AL51*1000000*Parameters!$C$12*Parameters!$C$3</f>
        <v>20.6124018554105</v>
      </c>
      <c r="R51" s="136" t="n">
        <f aca="false">W51/$AL51*1000000*Parameters!$C$12*Parameters!$C$5</f>
        <v>0</v>
      </c>
      <c r="S51" s="136" t="n">
        <f aca="false">X51/$AL51*1000000*Parameters!$C$12*Parameters!$C$4</f>
        <v>0</v>
      </c>
      <c r="T51" s="136" t="n">
        <f aca="false">Y51/$AL51*1000000*Parameters!$C$12*Parameters!$C$6</f>
        <v>0</v>
      </c>
      <c r="U51" s="2"/>
      <c r="V51" s="2" t="n">
        <v>3016</v>
      </c>
      <c r="W51" s="2"/>
      <c r="X51" s="2"/>
      <c r="Y51" s="137"/>
      <c r="Z51" s="144" t="s">
        <v>598</v>
      </c>
      <c r="AB51" s="142" t="n">
        <f aca="false">SUM(AC51:AD51)</f>
        <v>20.0550225833109</v>
      </c>
      <c r="AC51" s="143" t="n">
        <f aca="false">AF51/$AL51*1000*1000</f>
        <v>20.0550225833109</v>
      </c>
      <c r="AD51" s="142" t="n">
        <f aca="false">AG51/$AL51*1000*1000</f>
        <v>0</v>
      </c>
      <c r="AE51" s="2"/>
      <c r="AF51" s="2" t="n">
        <v>26410</v>
      </c>
      <c r="AG51" s="2"/>
      <c r="AH51" s="144" t="s">
        <v>598</v>
      </c>
      <c r="AJ51" s="145" t="s">
        <v>599</v>
      </c>
      <c r="AK51" s="2" t="n">
        <f aca="false">AL51/103.22/PI()/1000</f>
        <v>4060.98624430682</v>
      </c>
      <c r="AL51" s="170" t="n">
        <v>1316877101</v>
      </c>
      <c r="AN51" s="171" t="n">
        <v>0.056</v>
      </c>
      <c r="AO51" s="77" t="n">
        <f aca="false">V51/AN51*1000</f>
        <v>53857142.8571429</v>
      </c>
      <c r="AP51" s="161" t="n">
        <f aca="false">1/(AO51/AL51)</f>
        <v>24.4512989575597</v>
      </c>
    </row>
    <row r="52" s="77" customFormat="true" ht="47.25" hidden="false" customHeight="false" outlineLevel="0" collapsed="false">
      <c r="B52" s="124" t="s">
        <v>317</v>
      </c>
      <c r="C52" s="77" t="n">
        <v>2017</v>
      </c>
      <c r="D52" s="77" t="s">
        <v>581</v>
      </c>
      <c r="F52" s="134" t="n">
        <f aca="false">SUM(G52:H52)</f>
        <v>0.500873223333534</v>
      </c>
      <c r="G52" s="143" t="n">
        <f aca="false">K52/$AL52*1000</f>
        <v>0.319351451192607</v>
      </c>
      <c r="H52" s="142" t="n">
        <f aca="false">L52/$AL52*1000</f>
        <v>0.181521772140927</v>
      </c>
      <c r="I52" s="142" t="n">
        <f aca="false">M52/$AL52*1000</f>
        <v>0</v>
      </c>
      <c r="J52" s="2"/>
      <c r="K52" s="2" t="n">
        <v>406578</v>
      </c>
      <c r="L52" s="2" t="n">
        <v>231102</v>
      </c>
      <c r="M52" s="137"/>
      <c r="N52" s="144" t="s">
        <v>600</v>
      </c>
      <c r="P52" s="142" t="n">
        <f aca="false">SUM(Q52:T52)</f>
        <v>20.8822850262598</v>
      </c>
      <c r="Q52" s="140" t="n">
        <f aca="false">V52/$AL52*1000000*Parameters!$C$12*Parameters!$C$3</f>
        <v>20.8822850262598</v>
      </c>
      <c r="R52" s="136" t="n">
        <f aca="false">W52/$AL52*1000000*Parameters!$C$12*Parameters!$C$5</f>
        <v>0</v>
      </c>
      <c r="S52" s="136" t="n">
        <f aca="false">X52/$AL52*1000000*Parameters!$C$12*Parameters!$C$4</f>
        <v>0</v>
      </c>
      <c r="T52" s="136" t="n">
        <f aca="false">Y52/$AL52*1000000*Parameters!$C$12*Parameters!$C$6</f>
        <v>0</v>
      </c>
      <c r="U52" s="2"/>
      <c r="V52" s="2" t="n">
        <v>2954</v>
      </c>
      <c r="W52" s="2"/>
      <c r="X52" s="2"/>
      <c r="Y52" s="137"/>
      <c r="Z52" s="144" t="s">
        <v>600</v>
      </c>
      <c r="AB52" s="142" t="n">
        <f aca="false">SUM(AC52:AD52)</f>
        <v>22.1240999900195</v>
      </c>
      <c r="AC52" s="143" t="n">
        <f aca="false">AF52/$AL52*1000*1000</f>
        <v>22.1240999900195</v>
      </c>
      <c r="AD52" s="142" t="n">
        <f aca="false">AG52/$AL52*1000*1000</f>
        <v>0</v>
      </c>
      <c r="AE52" s="2"/>
      <c r="AF52" s="2" t="n">
        <v>28167</v>
      </c>
      <c r="AG52" s="2"/>
      <c r="AH52" s="144" t="s">
        <v>600</v>
      </c>
      <c r="AJ52" s="145" t="s">
        <v>581</v>
      </c>
      <c r="AK52" s="2" t="n">
        <f aca="false">AL52/103.22/PI()/1000</f>
        <v>3926.09906543072</v>
      </c>
      <c r="AL52" s="144" t="n">
        <f aca="false">V52/AN52*1000*AP52</f>
        <v>1273136534.94183</v>
      </c>
      <c r="AN52" s="171" t="n">
        <v>0.057</v>
      </c>
      <c r="AP52" s="161" t="n">
        <f aca="false">AVERAGE(AP$49:AP$51)</f>
        <v>24.5662770791077</v>
      </c>
    </row>
    <row r="53" s="77" customFormat="true" ht="47.25" hidden="false" customHeight="false" outlineLevel="0" collapsed="false">
      <c r="B53" s="124" t="s">
        <v>317</v>
      </c>
      <c r="C53" s="77" t="n">
        <v>2016</v>
      </c>
      <c r="D53" s="77" t="s">
        <v>581</v>
      </c>
      <c r="F53" s="134" t="n">
        <f aca="false">SUM(G53:H53)</f>
        <v>0.563600418464747</v>
      </c>
      <c r="G53" s="143" t="n">
        <f aca="false">K53/$AL53*1000</f>
        <v>0.350265658471343</v>
      </c>
      <c r="H53" s="142" t="n">
        <f aca="false">L53/$AL53*1000</f>
        <v>0.213334759993404</v>
      </c>
      <c r="I53" s="142" t="n">
        <f aca="false">M53/$AL53*1000</f>
        <v>0</v>
      </c>
      <c r="J53" s="2"/>
      <c r="K53" s="2" t="n">
        <v>397834</v>
      </c>
      <c r="L53" s="2" t="n">
        <v>242307</v>
      </c>
      <c r="M53" s="137"/>
      <c r="N53" s="144" t="s">
        <v>600</v>
      </c>
      <c r="P53" s="142" t="n">
        <f aca="false">SUM(Q53:T53)</f>
        <v>23.4467761698355</v>
      </c>
      <c r="Q53" s="140" t="n">
        <f aca="false">V53/$AL53*1000000*Parameters!$C$12*Parameters!$C$3</f>
        <v>23.4467761698355</v>
      </c>
      <c r="R53" s="136" t="n">
        <f aca="false">W53/$AL53*1000000*Parameters!$C$12*Parameters!$C$5</f>
        <v>0</v>
      </c>
      <c r="S53" s="136" t="n">
        <f aca="false">X53/$AL53*1000000*Parameters!$C$12*Parameters!$C$4</f>
        <v>0</v>
      </c>
      <c r="T53" s="136" t="n">
        <f aca="false">Y53/$AL53*1000000*Parameters!$C$12*Parameters!$C$6</f>
        <v>0</v>
      </c>
      <c r="U53" s="2"/>
      <c r="V53" s="2" t="n">
        <v>2959</v>
      </c>
      <c r="W53" s="2"/>
      <c r="X53" s="2"/>
      <c r="Y53" s="137"/>
      <c r="Z53" s="144" t="s">
        <v>600</v>
      </c>
      <c r="AB53" s="142" t="n">
        <f aca="false">SUM(AC53:AD53)</f>
        <v>24.1643279920884</v>
      </c>
      <c r="AC53" s="143" t="n">
        <f aca="false">AF53/$AL53*1000*1000</f>
        <v>24.1643279920884</v>
      </c>
      <c r="AD53" s="142" t="n">
        <f aca="false">AG53/$AL53*1000*1000</f>
        <v>0</v>
      </c>
      <c r="AE53" s="2"/>
      <c r="AF53" s="2" t="n">
        <v>27446</v>
      </c>
      <c r="AG53" s="2"/>
      <c r="AH53" s="144" t="s">
        <v>600</v>
      </c>
      <c r="AJ53" s="145" t="s">
        <v>581</v>
      </c>
      <c r="AK53" s="2" t="n">
        <f aca="false">AL53/103.22/PI()/1000</f>
        <v>3502.60053461801</v>
      </c>
      <c r="AL53" s="144" t="n">
        <f aca="false">V53/AN53*1000*AP53</f>
        <v>1135806466.82937</v>
      </c>
      <c r="AN53" s="171" t="n">
        <v>0.064</v>
      </c>
      <c r="AP53" s="161" t="n">
        <f aca="false">AVERAGE(AP$49:AP$51)</f>
        <v>24.5662770791077</v>
      </c>
    </row>
    <row r="54" s="77" customFormat="true" ht="47.25" hidden="false" customHeight="false" outlineLevel="0" collapsed="false">
      <c r="B54" s="124" t="s">
        <v>317</v>
      </c>
      <c r="C54" s="77" t="n">
        <v>2015</v>
      </c>
      <c r="D54" s="77" t="s">
        <v>581</v>
      </c>
      <c r="F54" s="134" t="n">
        <f aca="false">SUM(G54:H54)</f>
        <v>0.613389303566886</v>
      </c>
      <c r="G54" s="143" t="n">
        <f aca="false">K54/$AL54*1000</f>
        <v>0.378603881268488</v>
      </c>
      <c r="H54" s="142" t="n">
        <f aca="false">L54/$AL54*1000</f>
        <v>0.234785422298398</v>
      </c>
      <c r="I54" s="142" t="n">
        <f aca="false">M54/$AL54*1000</f>
        <v>0</v>
      </c>
      <c r="J54" s="2"/>
      <c r="K54" s="2" t="n">
        <v>398078</v>
      </c>
      <c r="L54" s="2" t="n">
        <v>246862</v>
      </c>
      <c r="M54" s="137"/>
      <c r="N54" s="144" t="s">
        <v>600</v>
      </c>
      <c r="P54" s="142" t="n">
        <f aca="false">SUM(Q54:T54)</f>
        <v>25.6449114357576</v>
      </c>
      <c r="Q54" s="140" t="n">
        <f aca="false">V54/$AL54*1000000*Parameters!$C$12*Parameters!$C$3</f>
        <v>25.6449114357576</v>
      </c>
      <c r="R54" s="136" t="n">
        <f aca="false">W54/$AL54*1000000*Parameters!$C$12*Parameters!$C$5</f>
        <v>0</v>
      </c>
      <c r="S54" s="136" t="n">
        <f aca="false">X54/$AL54*1000000*Parameters!$C$12*Parameters!$C$4</f>
        <v>0</v>
      </c>
      <c r="T54" s="136" t="n">
        <f aca="false">Y54/$AL54*1000000*Parameters!$C$12*Parameters!$C$6</f>
        <v>0</v>
      </c>
      <c r="U54" s="2"/>
      <c r="V54" s="2" t="n">
        <v>2996</v>
      </c>
      <c r="W54" s="2"/>
      <c r="X54" s="2"/>
      <c r="Y54" s="137"/>
      <c r="Z54" s="144" t="s">
        <v>600</v>
      </c>
      <c r="AB54" s="142" t="n">
        <f aca="false">SUM(AC54:AD54)</f>
        <v>26.0396094867085</v>
      </c>
      <c r="AC54" s="143" t="n">
        <f aca="false">AF54/$AL54*1000*1000</f>
        <v>26.0396094867085</v>
      </c>
      <c r="AD54" s="142" t="n">
        <f aca="false">AG54/$AL54*1000*1000</f>
        <v>0</v>
      </c>
      <c r="AE54" s="2"/>
      <c r="AF54" s="2" t="n">
        <v>27379</v>
      </c>
      <c r="AG54" s="2"/>
      <c r="AH54" s="144" t="s">
        <v>600</v>
      </c>
      <c r="AJ54" s="145" t="s">
        <v>581</v>
      </c>
      <c r="AK54" s="2" t="n">
        <f aca="false">AL54/103.22/PI()/1000</f>
        <v>3242.42088017088</v>
      </c>
      <c r="AL54" s="144" t="n">
        <f aca="false">V54/AN54*1000*AP54</f>
        <v>1051436658.98581</v>
      </c>
      <c r="AN54" s="171" t="n">
        <v>0.07</v>
      </c>
      <c r="AP54" s="161" t="n">
        <f aca="false">AVERAGE(AP$49:AP$51)</f>
        <v>24.5662770791077</v>
      </c>
    </row>
    <row r="55" s="77" customFormat="true" ht="47.25" hidden="false" customHeight="false" outlineLevel="0" collapsed="false">
      <c r="B55" s="124" t="s">
        <v>317</v>
      </c>
      <c r="C55" s="77" t="n">
        <v>2014</v>
      </c>
      <c r="D55" s="77" t="s">
        <v>581</v>
      </c>
      <c r="F55" s="134" t="n">
        <f aca="false">SUM(G55:H55)</f>
        <v>0.625910469657919</v>
      </c>
      <c r="G55" s="143" t="n">
        <f aca="false">K55/$AL55*1000</f>
        <v>0.361854563314364</v>
      </c>
      <c r="H55" s="142" t="n">
        <f aca="false">L55/$AL55*1000</f>
        <v>0.264055906343555</v>
      </c>
      <c r="I55" s="142" t="n">
        <f aca="false">M55/$AL55*1000</f>
        <v>0</v>
      </c>
      <c r="J55" s="2"/>
      <c r="K55" s="2" t="n">
        <v>309623</v>
      </c>
      <c r="L55" s="2" t="n">
        <v>225941</v>
      </c>
      <c r="M55" s="137"/>
      <c r="N55" s="144" t="s">
        <v>600</v>
      </c>
      <c r="P55" s="142" t="n">
        <f aca="false">SUM(Q55:T55)</f>
        <v>21.6149967815671</v>
      </c>
      <c r="Q55" s="140" t="n">
        <f aca="false">V55/$AL55*1000000*Parameters!$C$12*Parameters!$C$3</f>
        <v>21.6149967815671</v>
      </c>
      <c r="R55" s="136" t="n">
        <f aca="false">W55/$AL55*1000000*Parameters!$C$12*Parameters!$C$5</f>
        <v>0</v>
      </c>
      <c r="S55" s="136" t="n">
        <f aca="false">X55/$AL55*1000000*Parameters!$C$12*Parameters!$C$4</f>
        <v>0</v>
      </c>
      <c r="T55" s="136" t="n">
        <f aca="false">Y55/$AL55*1000000*Parameters!$C$12*Parameters!$C$6</f>
        <v>0</v>
      </c>
      <c r="U55" s="2"/>
      <c r="V55" s="2" t="n">
        <v>2055</v>
      </c>
      <c r="W55" s="2"/>
      <c r="X55" s="2"/>
      <c r="Y55" s="137"/>
      <c r="Z55" s="144" t="s">
        <v>600</v>
      </c>
      <c r="AB55" s="142" t="n">
        <f aca="false">SUM(AC55:AD55)</f>
        <v>22.0555944450789</v>
      </c>
      <c r="AC55" s="143" t="n">
        <f aca="false">AF55/$AL55*1000*1000</f>
        <v>22.0555944450789</v>
      </c>
      <c r="AD55" s="142" t="n">
        <f aca="false">AG55/$AL55*1000*1000</f>
        <v>0</v>
      </c>
      <c r="AE55" s="2"/>
      <c r="AF55" s="2" t="n">
        <v>18872</v>
      </c>
      <c r="AG55" s="2"/>
      <c r="AH55" s="144" t="s">
        <v>600</v>
      </c>
      <c r="AJ55" s="145" t="s">
        <v>581</v>
      </c>
      <c r="AK55" s="2" t="n">
        <f aca="false">AL55/103.22/PI()/1000</f>
        <v>2638.67214824615</v>
      </c>
      <c r="AL55" s="144" t="n">
        <f aca="false">V55/AN55*1000*AP55</f>
        <v>855655921.992651</v>
      </c>
      <c r="AN55" s="171" t="n">
        <v>0.059</v>
      </c>
      <c r="AP55" s="161" t="n">
        <f aca="false">AVERAGE(AP$49:AP$51)</f>
        <v>24.5662770791077</v>
      </c>
    </row>
    <row r="56" s="77" customFormat="true" ht="47.25" hidden="false" customHeight="false" outlineLevel="0" collapsed="false">
      <c r="B56" s="124" t="s">
        <v>317</v>
      </c>
      <c r="C56" s="77" t="n">
        <v>2013</v>
      </c>
      <c r="D56" s="77" t="s">
        <v>581</v>
      </c>
      <c r="F56" s="134" t="n">
        <f aca="false">SUM(G56:H56)</f>
        <v>0.522878373415568</v>
      </c>
      <c r="G56" s="143" t="n">
        <f aca="false">K56/$AL56*1000</f>
        <v>0.286135134654897</v>
      </c>
      <c r="H56" s="142" t="n">
        <f aca="false">L56/$AL56*1000</f>
        <v>0.236743238760671</v>
      </c>
      <c r="I56" s="142" t="n">
        <f aca="false">M56/$AL56*1000</f>
        <v>0</v>
      </c>
      <c r="J56" s="2"/>
      <c r="K56" s="2" t="n">
        <v>281171</v>
      </c>
      <c r="L56" s="2" t="n">
        <v>232636</v>
      </c>
      <c r="M56" s="137"/>
      <c r="N56" s="144" t="s">
        <v>600</v>
      </c>
      <c r="P56" s="142" t="n">
        <f aca="false">SUM(Q56:T56)</f>
        <v>17.9514380050303</v>
      </c>
      <c r="Q56" s="140" t="n">
        <f aca="false">V56/$AL56*1000000*Parameters!$C$12*Parameters!$C$3</f>
        <v>17.9514380050303</v>
      </c>
      <c r="R56" s="136" t="n">
        <f aca="false">W56/$AL56*1000000*Parameters!$C$12*Parameters!$C$5</f>
        <v>0</v>
      </c>
      <c r="S56" s="136" t="n">
        <f aca="false">X56/$AL56*1000000*Parameters!$C$12*Parameters!$C$4</f>
        <v>0</v>
      </c>
      <c r="T56" s="136" t="n">
        <f aca="false">Y56/$AL56*1000000*Parameters!$C$12*Parameters!$C$6</f>
        <v>0</v>
      </c>
      <c r="U56" s="2"/>
      <c r="V56" s="2" t="n">
        <v>1960</v>
      </c>
      <c r="W56" s="2"/>
      <c r="X56" s="2"/>
      <c r="Y56" s="137"/>
      <c r="Z56" s="144" t="s">
        <v>600</v>
      </c>
      <c r="AB56" s="142" t="n">
        <f aca="false">SUM(AC56:AD56)</f>
        <v>18.4399125085686</v>
      </c>
      <c r="AC56" s="143" t="n">
        <f aca="false">AF56/$AL56*1000*1000</f>
        <v>18.4399125085686</v>
      </c>
      <c r="AD56" s="142" t="n">
        <f aca="false">AG56/$AL56*1000*1000</f>
        <v>0</v>
      </c>
      <c r="AE56" s="2"/>
      <c r="AF56" s="2" t="n">
        <v>18120</v>
      </c>
      <c r="AG56" s="2"/>
      <c r="AH56" s="144" t="s">
        <v>600</v>
      </c>
      <c r="AJ56" s="145" t="s">
        <v>581</v>
      </c>
      <c r="AK56" s="2" t="n">
        <f aca="false">AL56/103.22/PI()/1000</f>
        <v>3030.29988801017</v>
      </c>
      <c r="AL56" s="144" t="n">
        <f aca="false">V56/AN56*1000*AP56</f>
        <v>982651083.16431</v>
      </c>
      <c r="AN56" s="171" t="n">
        <v>0.049</v>
      </c>
      <c r="AP56" s="161" t="n">
        <f aca="false">AVERAGE(AP$49:AP$51)</f>
        <v>24.5662770791077</v>
      </c>
    </row>
    <row r="57" s="77" customFormat="true" ht="47.25" hidden="false" customHeight="false" outlineLevel="0" collapsed="false">
      <c r="B57" s="124" t="s">
        <v>317</v>
      </c>
      <c r="C57" s="77" t="n">
        <v>2012</v>
      </c>
      <c r="D57" s="77" t="s">
        <v>581</v>
      </c>
      <c r="F57" s="134" t="n">
        <f aca="false">SUM(G57:H57)</f>
        <v>0.564806571007539</v>
      </c>
      <c r="G57" s="143" t="n">
        <f aca="false">K57/$AL57*1000</f>
        <v>0.294993460579014</v>
      </c>
      <c r="H57" s="142" t="n">
        <f aca="false">L57/$AL57*1000</f>
        <v>0.269813110428525</v>
      </c>
      <c r="I57" s="142" t="n">
        <f aca="false">M57/$AL57*1000</f>
        <v>0</v>
      </c>
      <c r="J57" s="2"/>
      <c r="K57" s="2" t="n">
        <v>274476</v>
      </c>
      <c r="L57" s="2" t="n">
        <v>251047</v>
      </c>
      <c r="M57" s="137"/>
      <c r="N57" s="144" t="s">
        <v>600</v>
      </c>
      <c r="P57" s="142" t="n">
        <f aca="false">SUM(Q57:T57)</f>
        <v>17.5850821273766</v>
      </c>
      <c r="Q57" s="140" t="n">
        <f aca="false">V57/$AL57*1000000*Parameters!$C$12*Parameters!$C$3</f>
        <v>17.5850821273766</v>
      </c>
      <c r="R57" s="136" t="n">
        <f aca="false">W57/$AL57*1000000*Parameters!$C$12*Parameters!$C$5</f>
        <v>0</v>
      </c>
      <c r="S57" s="136" t="n">
        <f aca="false">X57/$AL57*1000000*Parameters!$C$12*Parameters!$C$4</f>
        <v>0</v>
      </c>
      <c r="T57" s="136" t="n">
        <f aca="false">Y57/$AL57*1000000*Parameters!$C$12*Parameters!$C$6</f>
        <v>0</v>
      </c>
      <c r="U57" s="2"/>
      <c r="V57" s="2" t="n">
        <v>1818</v>
      </c>
      <c r="W57" s="2"/>
      <c r="X57" s="2"/>
      <c r="Y57" s="137"/>
      <c r="Z57" s="144" t="s">
        <v>600</v>
      </c>
      <c r="AB57" s="142" t="n">
        <f aca="false">SUM(AC57:AD57)</f>
        <v>16.9692495849621</v>
      </c>
      <c r="AC57" s="143" t="n">
        <f aca="false">AF57/$AL57*1000*1000</f>
        <v>16.9692495849621</v>
      </c>
      <c r="AD57" s="142" t="n">
        <f aca="false">AG57/$AL57*1000*1000</f>
        <v>0</v>
      </c>
      <c r="AE57" s="2"/>
      <c r="AF57" s="2" t="n">
        <v>15789</v>
      </c>
      <c r="AG57" s="2"/>
      <c r="AH57" s="144" t="s">
        <v>600</v>
      </c>
      <c r="AJ57" s="145" t="s">
        <v>581</v>
      </c>
      <c r="AK57" s="2" t="n">
        <f aca="false">AL57/103.22/PI()/1000</f>
        <v>2869.31520645963</v>
      </c>
      <c r="AL57" s="144" t="n">
        <f aca="false">V57/AN57*1000*AP57</f>
        <v>930447744.371206</v>
      </c>
      <c r="AN57" s="171" t="n">
        <v>0.048</v>
      </c>
      <c r="AP57" s="161" t="n">
        <f aca="false">AVERAGE(AP$49:AP$51)</f>
        <v>24.5662770791077</v>
      </c>
    </row>
    <row r="58" s="77" customFormat="true" ht="47.25" hidden="false" customHeight="false" outlineLevel="0" collapsed="false">
      <c r="B58" s="124" t="s">
        <v>317</v>
      </c>
      <c r="C58" s="77" t="n">
        <v>2011</v>
      </c>
      <c r="D58" s="77" t="s">
        <v>581</v>
      </c>
      <c r="F58" s="134" t="n">
        <f aca="false">SUM(G58:H58)</f>
        <v>0.596093960661592</v>
      </c>
      <c r="G58" s="143" t="n">
        <f aca="false">K58/$AL58*1000</f>
        <v>0.32566125503659</v>
      </c>
      <c r="H58" s="142" t="n">
        <f aca="false">L58/$AL58*1000</f>
        <v>0.270432705625003</v>
      </c>
      <c r="I58" s="142" t="n">
        <f aca="false">M58/$AL58*1000</f>
        <v>0</v>
      </c>
      <c r="J58" s="2"/>
      <c r="K58" s="2" t="n">
        <v>286192</v>
      </c>
      <c r="L58" s="2" t="n">
        <v>237657</v>
      </c>
      <c r="M58" s="137"/>
      <c r="N58" s="144" t="s">
        <v>600</v>
      </c>
      <c r="P58" s="142" t="n">
        <f aca="false">SUM(Q58:T58)</f>
        <v>16.1196586167619</v>
      </c>
      <c r="Q58" s="172" t="n">
        <f aca="false">V58/$AL58*1000000*Parameters!$C$12*Parameters!$C$3</f>
        <v>16.1196586167619</v>
      </c>
      <c r="R58" s="173" t="n">
        <f aca="false">W58/$AL58*1000000*Parameters!$C$12*Parameters!$C$5</f>
        <v>0</v>
      </c>
      <c r="S58" s="173" t="n">
        <f aca="false">X58/$AL58*1000000*Parameters!$C$12*Parameters!$C$4</f>
        <v>0</v>
      </c>
      <c r="T58" s="173" t="n">
        <f aca="false">Y58/$AL58*1000000*Parameters!$C$12*Parameters!$C$6</f>
        <v>0</v>
      </c>
      <c r="U58" s="174"/>
      <c r="V58" s="174" t="n">
        <v>1574</v>
      </c>
      <c r="W58" s="174"/>
      <c r="X58" s="174"/>
      <c r="Y58" s="175"/>
      <c r="Z58" s="176" t="s">
        <v>600</v>
      </c>
      <c r="AB58" s="142" t="n">
        <f aca="false">SUM(AC58:AD58)</f>
        <v>15.3993604447719</v>
      </c>
      <c r="AC58" s="172" t="n">
        <f aca="false">AF58/$AL58*1000*1000</f>
        <v>15.3993604447719</v>
      </c>
      <c r="AD58" s="173" t="n">
        <f aca="false">AG58/$AL58*1000*1000</f>
        <v>0</v>
      </c>
      <c r="AE58" s="173"/>
      <c r="AF58" s="173" t="n">
        <v>13533</v>
      </c>
      <c r="AG58" s="174"/>
      <c r="AH58" s="176" t="s">
        <v>600</v>
      </c>
      <c r="AJ58" s="164" t="s">
        <v>581</v>
      </c>
      <c r="AK58" s="174" t="n">
        <f aca="false">AL58/103.22/PI()/1000</f>
        <v>2710.0522862091</v>
      </c>
      <c r="AL58" s="167" t="n">
        <f aca="false">V58/AN58*1000*AP58</f>
        <v>878802730.057172</v>
      </c>
      <c r="AN58" s="177" t="n">
        <v>0.044</v>
      </c>
      <c r="AO58" s="165"/>
      <c r="AP58" s="167" t="n">
        <f aca="false">AVERAGE(AP$49:AP$51)</f>
        <v>24.5662770791077</v>
      </c>
    </row>
  </sheetData>
  <mergeCells count="4">
    <mergeCell ref="G2:N2"/>
    <mergeCell ref="Q2:Z2"/>
    <mergeCell ref="AC2:AH2"/>
    <mergeCell ref="AJ2:AL2"/>
  </mergeCell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docProps/app.xml><?xml version="1.0" encoding="utf-8"?>
<Properties xmlns="http://schemas.openxmlformats.org/officeDocument/2006/extended-properties" xmlns:vt="http://schemas.openxmlformats.org/officeDocument/2006/docPropsVTypes">
  <Template/>
  <TotalTime>2</TotalTime>
  <Application>LibreOffice/7.3.7.2$Linux_X86_64 LibreOffice_project/30$Build-2</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2020-08-21T14:37:00Z</dcterms:created>
  <dc:creator>Utilisateur de Microsoft Office</dc:creator>
  <dc:description/>
  <dc:language>en-US</dc:language>
  <cp:lastModifiedBy/>
  <dcterms:modified xsi:type="dcterms:W3CDTF">2025-03-04T13:03:26Z</dcterms:modified>
  <cp:revision>2</cp:revision>
  <dc:subject/>
  <dc:title/>
</cp:coreProperties>
</file>

<file path=docProps/custom.xml><?xml version="1.0" encoding="utf-8"?>
<Properties xmlns="http://schemas.openxmlformats.org/officeDocument/2006/custom-properties" xmlns:vt="http://schemas.openxmlformats.org/officeDocument/2006/docPropsVTypes"/>
</file>